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10"/>
  </bookViews>
  <sheets>
    <sheet name="день первый" sheetId="1" r:id="rId1"/>
    <sheet name="день второй" sheetId="2" r:id="rId2"/>
    <sheet name="день третий" sheetId="3" r:id="rId3"/>
    <sheet name="день четвертый" sheetId="4" r:id="rId4"/>
    <sheet name="день пятый" sheetId="5" r:id="rId5"/>
    <sheet name="день шестой" sheetId="6" r:id="rId6"/>
    <sheet name="день седьмой" sheetId="7" r:id="rId7"/>
    <sheet name="день восьмой" sheetId="8" r:id="rId8"/>
    <sheet name="день девятый" sheetId="9" r:id="rId9"/>
    <sheet name="день десятый" sheetId="10" r:id="rId10"/>
    <sheet name="день первый (2)" sheetId="11" r:id="rId11"/>
    <sheet name="день второй (2)" sheetId="12" r:id="rId12"/>
    <sheet name="день третий (2)" sheetId="13" r:id="rId13"/>
    <sheet name="день четвертый (2)" sheetId="14" r:id="rId14"/>
    <sheet name="день пятый (2)" sheetId="15" r:id="rId15"/>
    <sheet name="день шестой (2)" sheetId="16" r:id="rId16"/>
    <sheet name="день седьмой (2)" sheetId="17" r:id="rId17"/>
    <sheet name="день восьмой (2)" sheetId="18" r:id="rId18"/>
    <sheet name="день девятый (2)" sheetId="19" r:id="rId19"/>
    <sheet name="день десятый (2)" sheetId="20" r:id="rId20"/>
    <sheet name="день первый льготный" sheetId="21" r:id="rId21"/>
    <sheet name="день второй льготный" sheetId="22" r:id="rId22"/>
    <sheet name="день третий льготный" sheetId="23" r:id="rId23"/>
    <sheet name="день четвертый льготный" sheetId="24" r:id="rId24"/>
    <sheet name="день пятый льготный" sheetId="25" r:id="rId25"/>
    <sheet name="день шестой льготный" sheetId="26" r:id="rId26"/>
    <sheet name="день седьмой льготный" sheetId="27" r:id="rId27"/>
    <sheet name="день восьмой льготный" sheetId="28" r:id="rId28"/>
    <sheet name="день девятый льготный" sheetId="29" r:id="rId29"/>
    <sheet name="день десятый льготный" sheetId="30" r:id="rId30"/>
    <sheet name="день первый льготный (2)" sheetId="31" r:id="rId31"/>
    <sheet name="день второй льготный (2)" sheetId="32" r:id="rId32"/>
    <sheet name="день третий льготный (2)" sheetId="33" r:id="rId33"/>
    <sheet name="день четвертый льготный (2)" sheetId="34" r:id="rId34"/>
    <sheet name="день пятый льготный (2)" sheetId="35" r:id="rId35"/>
    <sheet name="день шестой льготный (2)" sheetId="36" r:id="rId36"/>
    <sheet name="день седьмой льготный (2)" sheetId="37" r:id="rId37"/>
    <sheet name="день восьмой льготный (2)" sheetId="38" r:id="rId38"/>
    <sheet name="день девятый льготный (2)" sheetId="39" r:id="rId39"/>
    <sheet name="день десятый льготный (2)" sheetId="40" r:id="rId40"/>
  </sheets>
  <definedNames/>
  <calcPr fullCalcOnLoad="1"/>
</workbook>
</file>

<file path=xl/sharedStrings.xml><?xml version="1.0" encoding="utf-8"?>
<sst xmlns="http://schemas.openxmlformats.org/spreadsheetml/2006/main" count="1307" uniqueCount="134">
  <si>
    <t>Согласовано:</t>
  </si>
  <si>
    <t>Утверждаю:</t>
  </si>
  <si>
    <t>Начальник территориального отдела</t>
  </si>
  <si>
    <t>Начальник Муниципального казенного учреждения</t>
  </si>
  <si>
    <t>Управления Роспотребнадзора</t>
  </si>
  <si>
    <t>"Управление образования города Белово"</t>
  </si>
  <si>
    <t xml:space="preserve">по Кемеровской области в г. Белово </t>
  </si>
  <si>
    <t>и Беловском районе</t>
  </si>
  <si>
    <t>_______________В.В. Поддорников</t>
  </si>
  <si>
    <t>_______________________В.Я. Шафирко</t>
  </si>
  <si>
    <t>День первый</t>
  </si>
  <si>
    <t>Сезон осенне-весенний</t>
  </si>
  <si>
    <t>Наименование блюда</t>
  </si>
  <si>
    <t>Масса порции, г</t>
  </si>
  <si>
    <t>Пищевые вещества, г</t>
  </si>
  <si>
    <t>Эн. ценность, ккал</t>
  </si>
  <si>
    <t>Витамины, мг</t>
  </si>
  <si>
    <t>Минеральные вещества, мг</t>
  </si>
  <si>
    <t>Б</t>
  </si>
  <si>
    <t>Ж</t>
  </si>
  <si>
    <t>У</t>
  </si>
  <si>
    <t>А</t>
  </si>
  <si>
    <t>В 1</t>
  </si>
  <si>
    <t>С</t>
  </si>
  <si>
    <t>Са</t>
  </si>
  <si>
    <t>Мg</t>
  </si>
  <si>
    <t>P</t>
  </si>
  <si>
    <t>Fe</t>
  </si>
  <si>
    <t>Лапша отварная</t>
  </si>
  <si>
    <t>Компот из сухофруктов</t>
  </si>
  <si>
    <t>Хлеб витаминизированный</t>
  </si>
  <si>
    <t>ИТОГО:</t>
  </si>
  <si>
    <t>Примерное десятидневное меню горячих завтраков для                           МБОУ СОШ № 24 города Белово</t>
  </si>
  <si>
    <t>Возрастная группа 7 - 11 лет</t>
  </si>
  <si>
    <t>Котлета рубленая с маслом</t>
  </si>
  <si>
    <t>Соус красный основной</t>
  </si>
  <si>
    <t>Чай с сахаром</t>
  </si>
  <si>
    <t>200/15</t>
  </si>
  <si>
    <t>День второй</t>
  </si>
  <si>
    <t>Плов из говядины</t>
  </si>
  <si>
    <t>Напиток кофейный</t>
  </si>
  <si>
    <t>День третий</t>
  </si>
  <si>
    <t>Омлет натуральный с маслом</t>
  </si>
  <si>
    <t>Сыр порциями</t>
  </si>
  <si>
    <t>Масло сливочное порциями</t>
  </si>
  <si>
    <t>Какао с молоком</t>
  </si>
  <si>
    <t>День четвертый</t>
  </si>
  <si>
    <t>Каша рисовая молочная с маслом</t>
  </si>
  <si>
    <t>200/5</t>
  </si>
  <si>
    <t>Сосиска, запеченная в тесте</t>
  </si>
  <si>
    <t>День пятый</t>
  </si>
  <si>
    <t>Гуляш из говядины</t>
  </si>
  <si>
    <t>Каша гречневая</t>
  </si>
  <si>
    <t>День шестой</t>
  </si>
  <si>
    <t>Оладьи со сгущенным молоком</t>
  </si>
  <si>
    <t>150/50</t>
  </si>
  <si>
    <t>Напиток витаминизированный</t>
  </si>
  <si>
    <t>Конфеты шоколадные</t>
  </si>
  <si>
    <t>День седьмой</t>
  </si>
  <si>
    <t>Курица отварная</t>
  </si>
  <si>
    <t>Картофельное пюре</t>
  </si>
  <si>
    <t>Кисель витаминизированный</t>
  </si>
  <si>
    <t>Хлеб пшеничный</t>
  </si>
  <si>
    <t>День восьмой</t>
  </si>
  <si>
    <t>Колбаса отварная</t>
  </si>
  <si>
    <t>Пюре гороховое</t>
  </si>
  <si>
    <t>День девятый</t>
  </si>
  <si>
    <t>Печень, тушенная в соусе</t>
  </si>
  <si>
    <t>День десятый</t>
  </si>
  <si>
    <t>Котлета из говядины</t>
  </si>
  <si>
    <t>Каша перловая</t>
  </si>
  <si>
    <t>Сок фруктовый</t>
  </si>
  <si>
    <t>Возрастная группа 7-11 лет</t>
  </si>
  <si>
    <t>Завтрак</t>
  </si>
  <si>
    <t>Обед</t>
  </si>
  <si>
    <t>ВСЕГО:</t>
  </si>
  <si>
    <t>Примерное десятидневное меню для организации льготного двухразового горячего питания в МБОУ СОШ № 24 города Белово</t>
  </si>
  <si>
    <t>Возрастная группа 12 - 18 лет</t>
  </si>
  <si>
    <t>100/5</t>
  </si>
  <si>
    <t>Печенье</t>
  </si>
  <si>
    <t>100/100</t>
  </si>
  <si>
    <t>Конфета шоколадная</t>
  </si>
  <si>
    <t>Суп картофельный с пшеном</t>
  </si>
  <si>
    <t>80/5</t>
  </si>
  <si>
    <t>Макароны отварные</t>
  </si>
  <si>
    <t>Каша пшенная молочная с маслом</t>
  </si>
  <si>
    <t>200/10</t>
  </si>
  <si>
    <t>Яйцо отварное</t>
  </si>
  <si>
    <t>Масло сливочное</t>
  </si>
  <si>
    <t>Суп картофельный с рыбными консервами</t>
  </si>
  <si>
    <t>250/25</t>
  </si>
  <si>
    <t>Хлеб</t>
  </si>
  <si>
    <t>Чай с молоком</t>
  </si>
  <si>
    <t>Щи из свежей капусты</t>
  </si>
  <si>
    <t>Суп молочный с лапшой</t>
  </si>
  <si>
    <t>Каша манная молочная с маслом</t>
  </si>
  <si>
    <t>Напиток кофейный на молоке</t>
  </si>
  <si>
    <t>Курица, тушенная в соусе</t>
  </si>
  <si>
    <t>80/80</t>
  </si>
  <si>
    <t>Кисель</t>
  </si>
  <si>
    <t>Борщ из свежей капусты</t>
  </si>
  <si>
    <t>Суп молочный с рисом</t>
  </si>
  <si>
    <t>Суп картофельный с горохом</t>
  </si>
  <si>
    <t>Макароны, запеченные с яйцом</t>
  </si>
  <si>
    <t>Каша геркулес молочная с маслом</t>
  </si>
  <si>
    <t>1шт.</t>
  </si>
  <si>
    <t>Суп картофельный с лапшой</t>
  </si>
  <si>
    <t>210/5</t>
  </si>
  <si>
    <t>Кондитерское изделие</t>
  </si>
  <si>
    <t>150/5</t>
  </si>
  <si>
    <t>80/120</t>
  </si>
  <si>
    <t>Компот из с/фруктов</t>
  </si>
  <si>
    <t>Возрастная группа 11-18 лет</t>
  </si>
  <si>
    <t>Напиток "Валетек"</t>
  </si>
  <si>
    <t>Кисель "Валетек"</t>
  </si>
  <si>
    <t>Суп картофельный с пшеном с мясом</t>
  </si>
  <si>
    <t>16,,65</t>
  </si>
  <si>
    <t>Котлета, запеченная в тесте</t>
  </si>
  <si>
    <t>50/200</t>
  </si>
  <si>
    <t>Омлет с колбасой с маслом</t>
  </si>
  <si>
    <t>130/5</t>
  </si>
  <si>
    <t>Суп картофельный с рисом</t>
  </si>
  <si>
    <t>Рыба, тушенная в соусе с овощами</t>
  </si>
  <si>
    <t>Сосиска, запеченная в тете</t>
  </si>
  <si>
    <t>Каша пшенная молочная</t>
  </si>
  <si>
    <t>Сок</t>
  </si>
  <si>
    <t>Котлета рубленая</t>
  </si>
  <si>
    <t>Борщ из свежей капусты с мясом</t>
  </si>
  <si>
    <t>230/10</t>
  </si>
  <si>
    <t>270/5</t>
  </si>
  <si>
    <t xml:space="preserve"> </t>
  </si>
  <si>
    <t>Белки</t>
  </si>
  <si>
    <t>Жиры</t>
  </si>
  <si>
    <t>Углеводы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</si>
</sst>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3:Q28"/>
  <sheetViews>
    <sheetView zoomScalePageLayoutView="0" workbookViewId="0" topLeftCell="B3">
      <selection activeCell="D13" sqref="D13:J14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7" ht="12.75">
      <c r="B3" s="19" t="s">
        <v>0</v>
      </c>
      <c r="C3" s="19"/>
      <c r="D3" s="19"/>
      <c r="E3" s="19"/>
      <c r="F3" s="19"/>
      <c r="G3" s="19"/>
    </row>
    <row r="4" spans="2:14" ht="12.75">
      <c r="B4" s="19"/>
      <c r="C4" s="19"/>
      <c r="D4" s="19"/>
      <c r="E4" s="19"/>
      <c r="F4" s="19"/>
      <c r="G4" s="19"/>
      <c r="I4" s="20" t="s">
        <v>1</v>
      </c>
      <c r="J4" s="20"/>
      <c r="K4" s="20"/>
      <c r="L4" s="20"/>
      <c r="M4" s="20"/>
      <c r="N4" s="20"/>
    </row>
    <row r="5" spans="2:7" ht="12.75">
      <c r="B5" s="19"/>
      <c r="C5" s="19"/>
      <c r="D5" s="19"/>
      <c r="E5" s="19"/>
      <c r="F5" s="19"/>
      <c r="G5" s="19"/>
    </row>
    <row r="6" spans="2:13" ht="12.75">
      <c r="B6" s="20" t="s">
        <v>2</v>
      </c>
      <c r="C6" s="20"/>
      <c r="D6" s="20"/>
      <c r="E6" s="20"/>
      <c r="F6" s="20"/>
      <c r="G6" s="20"/>
      <c r="I6" s="1" t="s">
        <v>3</v>
      </c>
      <c r="J6" s="1"/>
      <c r="K6" s="1"/>
      <c r="L6" s="1"/>
      <c r="M6" s="1"/>
    </row>
    <row r="7" spans="2:13" ht="12.75">
      <c r="B7" s="20" t="s">
        <v>4</v>
      </c>
      <c r="C7" s="20"/>
      <c r="D7" s="20"/>
      <c r="E7" s="20"/>
      <c r="F7" s="20"/>
      <c r="G7" s="20"/>
      <c r="I7" s="20" t="s">
        <v>5</v>
      </c>
      <c r="J7" s="20"/>
      <c r="K7" s="20"/>
      <c r="L7" s="20"/>
      <c r="M7" s="20"/>
    </row>
    <row r="8" spans="2:7" ht="12.75">
      <c r="B8" s="20" t="s">
        <v>6</v>
      </c>
      <c r="C8" s="20"/>
      <c r="D8" s="20"/>
      <c r="E8" s="20"/>
      <c r="F8" s="20"/>
      <c r="G8" s="20"/>
    </row>
    <row r="9" spans="2:17" ht="12.75">
      <c r="B9" s="20" t="s">
        <v>7</v>
      </c>
      <c r="C9" s="20"/>
      <c r="D9" s="20"/>
      <c r="E9" s="20"/>
      <c r="F9" s="20"/>
      <c r="G9" s="20"/>
      <c r="Q9" s="29"/>
    </row>
    <row r="10" spans="2:13" ht="12.75">
      <c r="B10" s="20" t="s">
        <v>8</v>
      </c>
      <c r="C10" s="20"/>
      <c r="D10" s="20"/>
      <c r="E10" s="20"/>
      <c r="F10" s="20"/>
      <c r="I10" s="20" t="s">
        <v>9</v>
      </c>
      <c r="J10" s="20"/>
      <c r="K10" s="20"/>
      <c r="L10" s="20"/>
      <c r="M10" s="20"/>
    </row>
    <row r="13" spans="4:10" ht="12.75" customHeight="1">
      <c r="D13" s="26" t="s">
        <v>32</v>
      </c>
      <c r="E13" s="26"/>
      <c r="F13" s="26"/>
      <c r="G13" s="26"/>
      <c r="H13" s="26"/>
      <c r="I13" s="26"/>
      <c r="J13" s="26"/>
    </row>
    <row r="14" spans="4:10" ht="12.75">
      <c r="D14" s="26"/>
      <c r="E14" s="26"/>
      <c r="F14" s="26"/>
      <c r="G14" s="26"/>
      <c r="H14" s="26"/>
      <c r="I14" s="26"/>
      <c r="J14" s="26"/>
    </row>
    <row r="16" spans="11:13" ht="12.75">
      <c r="K16" s="27" t="s">
        <v>10</v>
      </c>
      <c r="L16" s="27"/>
      <c r="M16" s="27"/>
    </row>
    <row r="17" spans="11:13" ht="12.75">
      <c r="K17" s="20" t="s">
        <v>11</v>
      </c>
      <c r="L17" s="20"/>
      <c r="M17" s="20"/>
    </row>
    <row r="18" spans="11:13" ht="12.75">
      <c r="K18" s="27" t="s">
        <v>33</v>
      </c>
      <c r="L18" s="27"/>
      <c r="M18" s="27"/>
    </row>
    <row r="20" spans="2:14" ht="25.5" customHeight="1">
      <c r="B20" s="24" t="s">
        <v>12</v>
      </c>
      <c r="C20" s="24" t="s">
        <v>13</v>
      </c>
      <c r="D20" s="21" t="s">
        <v>14</v>
      </c>
      <c r="E20" s="22"/>
      <c r="F20" s="23"/>
      <c r="G20" s="24" t="s">
        <v>15</v>
      </c>
      <c r="H20" s="21" t="s">
        <v>16</v>
      </c>
      <c r="I20" s="22"/>
      <c r="J20" s="23"/>
      <c r="K20" s="21" t="s">
        <v>17</v>
      </c>
      <c r="L20" s="22"/>
      <c r="M20" s="22"/>
      <c r="N20" s="23"/>
    </row>
    <row r="21" spans="2:14" ht="12.75">
      <c r="B21" s="25"/>
      <c r="C21" s="25"/>
      <c r="D21" s="3" t="s">
        <v>131</v>
      </c>
      <c r="E21" s="3" t="s">
        <v>132</v>
      </c>
      <c r="F21" s="3" t="s">
        <v>133</v>
      </c>
      <c r="G21" s="25"/>
      <c r="H21" s="3" t="s">
        <v>21</v>
      </c>
      <c r="I21" s="3" t="s">
        <v>22</v>
      </c>
      <c r="J21" s="3" t="s">
        <v>23</v>
      </c>
      <c r="K21" s="3" t="s">
        <v>24</v>
      </c>
      <c r="L21" s="3" t="s">
        <v>25</v>
      </c>
      <c r="M21" s="3" t="s">
        <v>26</v>
      </c>
      <c r="N21" s="3" t="s">
        <v>27</v>
      </c>
    </row>
    <row r="22" spans="2:14" ht="25.5">
      <c r="B22" s="4" t="s">
        <v>34</v>
      </c>
      <c r="C22" s="2" t="s">
        <v>83</v>
      </c>
      <c r="D22" s="5">
        <v>12.9</v>
      </c>
      <c r="E22" s="5">
        <v>16.4</v>
      </c>
      <c r="F22" s="5">
        <v>11.3</v>
      </c>
      <c r="G22" s="2">
        <v>242.1</v>
      </c>
      <c r="H22" s="5">
        <v>0</v>
      </c>
      <c r="I22" s="5">
        <v>0</v>
      </c>
      <c r="J22" s="5">
        <v>0.1</v>
      </c>
      <c r="K22" s="5">
        <v>32.4</v>
      </c>
      <c r="L22" s="5">
        <v>16.6</v>
      </c>
      <c r="M22" s="5">
        <v>92.8</v>
      </c>
      <c r="N22" s="5">
        <v>1.3</v>
      </c>
    </row>
    <row r="23" spans="2:14" ht="12.75">
      <c r="B23" s="4" t="s">
        <v>28</v>
      </c>
      <c r="C23" s="2">
        <v>150</v>
      </c>
      <c r="D23" s="5">
        <v>5.5</v>
      </c>
      <c r="E23" s="5">
        <v>4.8</v>
      </c>
      <c r="F23" s="5">
        <v>39.5</v>
      </c>
      <c r="G23" s="2">
        <v>213.5</v>
      </c>
      <c r="H23" s="5">
        <v>0</v>
      </c>
      <c r="I23" s="5">
        <v>0.1</v>
      </c>
      <c r="J23" s="5">
        <v>0</v>
      </c>
      <c r="K23" s="5">
        <v>7.6</v>
      </c>
      <c r="L23" s="5">
        <v>8.5</v>
      </c>
      <c r="M23" s="5">
        <v>46</v>
      </c>
      <c r="N23" s="5">
        <v>0.6</v>
      </c>
    </row>
    <row r="24" spans="2:14" ht="12.75">
      <c r="B24" s="6" t="s">
        <v>36</v>
      </c>
      <c r="C24" s="7" t="s">
        <v>37</v>
      </c>
      <c r="D24" s="7">
        <v>0</v>
      </c>
      <c r="E24" s="7">
        <v>0</v>
      </c>
      <c r="F24" s="7">
        <v>14.35</v>
      </c>
      <c r="G24" s="7">
        <v>58.5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2:14" ht="25.5">
      <c r="B25" s="6" t="s">
        <v>30</v>
      </c>
      <c r="C25" s="7">
        <v>25</v>
      </c>
      <c r="D25" s="7">
        <v>2.02</v>
      </c>
      <c r="E25" s="7">
        <v>0.37</v>
      </c>
      <c r="F25" s="7">
        <v>13.2</v>
      </c>
      <c r="G25" s="7">
        <v>64.5</v>
      </c>
      <c r="H25" s="7">
        <v>0</v>
      </c>
      <c r="I25" s="7">
        <v>0.11</v>
      </c>
      <c r="J25" s="7">
        <v>0</v>
      </c>
      <c r="K25" s="7">
        <v>0</v>
      </c>
      <c r="L25" s="7">
        <v>0</v>
      </c>
      <c r="M25" s="7">
        <v>0</v>
      </c>
      <c r="N25" s="7">
        <v>0.5</v>
      </c>
    </row>
    <row r="26" spans="2:14" ht="12.75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ht="12.75">
      <c r="B27" s="16" t="s">
        <v>31</v>
      </c>
      <c r="C27" s="7"/>
      <c r="D27" s="7">
        <f aca="true" t="shared" si="0" ref="D27:N27">SUM(D22:D25)</f>
        <v>20.419999999999998</v>
      </c>
      <c r="E27" s="7">
        <f t="shared" si="0"/>
        <v>21.57</v>
      </c>
      <c r="F27" s="7">
        <f t="shared" si="0"/>
        <v>78.35</v>
      </c>
      <c r="G27" s="7">
        <f t="shared" si="0"/>
        <v>578.6</v>
      </c>
      <c r="H27" s="7">
        <f t="shared" si="0"/>
        <v>0</v>
      </c>
      <c r="I27" s="7">
        <f t="shared" si="0"/>
        <v>0.21000000000000002</v>
      </c>
      <c r="J27" s="7">
        <f t="shared" si="0"/>
        <v>0.1</v>
      </c>
      <c r="K27" s="7">
        <f t="shared" si="0"/>
        <v>40</v>
      </c>
      <c r="L27" s="7">
        <f t="shared" si="0"/>
        <v>25.1</v>
      </c>
      <c r="M27" s="7">
        <f t="shared" si="0"/>
        <v>138.8</v>
      </c>
      <c r="N27" s="7">
        <f t="shared" si="0"/>
        <v>2.4</v>
      </c>
    </row>
    <row r="28" spans="2:14" ht="12.7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</sheetData>
  <sheetProtection/>
  <mergeCells count="19">
    <mergeCell ref="K20:N20"/>
    <mergeCell ref="I4:N4"/>
    <mergeCell ref="I7:M7"/>
    <mergeCell ref="I10:M10"/>
    <mergeCell ref="K16:M16"/>
    <mergeCell ref="K17:M17"/>
    <mergeCell ref="K18:M18"/>
    <mergeCell ref="D20:F20"/>
    <mergeCell ref="H20:J20"/>
    <mergeCell ref="B20:B21"/>
    <mergeCell ref="C20:C21"/>
    <mergeCell ref="G20:G21"/>
    <mergeCell ref="D13:J14"/>
    <mergeCell ref="B3:G5"/>
    <mergeCell ref="B6:G6"/>
    <mergeCell ref="B7:G7"/>
    <mergeCell ref="B8:G8"/>
    <mergeCell ref="B9:G9"/>
    <mergeCell ref="B10:F10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3:N25"/>
  <sheetViews>
    <sheetView zoomScalePageLayoutView="0" workbookViewId="0" topLeftCell="B1">
      <selection activeCell="J27" sqref="J27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20"/>
      <c r="J3" s="20"/>
      <c r="K3" s="20"/>
      <c r="L3" s="20"/>
      <c r="M3" s="20"/>
    </row>
    <row r="4" spans="2:7" ht="12.75">
      <c r="B4" s="20"/>
      <c r="C4" s="20"/>
      <c r="D4" s="20"/>
      <c r="E4" s="20"/>
      <c r="F4" s="20"/>
      <c r="G4" s="20"/>
    </row>
    <row r="5" spans="2:7" ht="12.75">
      <c r="B5" s="20"/>
      <c r="C5" s="20"/>
      <c r="D5" s="20"/>
      <c r="E5" s="20"/>
      <c r="F5" s="20"/>
      <c r="G5" s="20"/>
    </row>
    <row r="6" spans="2:13" ht="12.75">
      <c r="B6" s="20"/>
      <c r="C6" s="20"/>
      <c r="D6" s="20"/>
      <c r="E6" s="20"/>
      <c r="F6" s="20"/>
      <c r="I6" s="20"/>
      <c r="J6" s="20"/>
      <c r="K6" s="20"/>
      <c r="L6" s="20"/>
      <c r="M6" s="20"/>
    </row>
    <row r="9" spans="4:10" ht="12.75">
      <c r="D9" s="26" t="s">
        <v>32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2" spans="11:13" ht="12.75">
      <c r="K12" s="27" t="s">
        <v>68</v>
      </c>
      <c r="L12" s="27"/>
      <c r="M12" s="27"/>
    </row>
    <row r="13" spans="11:13" ht="12.75">
      <c r="K13" s="20" t="s">
        <v>11</v>
      </c>
      <c r="L13" s="20"/>
      <c r="M13" s="20"/>
    </row>
    <row r="14" spans="11:13" ht="12.75">
      <c r="K14" s="27" t="s">
        <v>33</v>
      </c>
      <c r="L14" s="27"/>
      <c r="M14" s="27"/>
    </row>
    <row r="16" spans="2:14" ht="25.5" customHeight="1">
      <c r="B16" s="24" t="s">
        <v>12</v>
      </c>
      <c r="C16" s="24" t="s">
        <v>13</v>
      </c>
      <c r="D16" s="21" t="s">
        <v>14</v>
      </c>
      <c r="E16" s="22"/>
      <c r="F16" s="23"/>
      <c r="G16" s="24" t="s">
        <v>15</v>
      </c>
      <c r="H16" s="21" t="s">
        <v>16</v>
      </c>
      <c r="I16" s="22"/>
      <c r="J16" s="23"/>
      <c r="K16" s="21" t="s">
        <v>17</v>
      </c>
      <c r="L16" s="22"/>
      <c r="M16" s="22"/>
      <c r="N16" s="23"/>
    </row>
    <row r="17" spans="2:14" ht="12.75">
      <c r="B17" s="25"/>
      <c r="C17" s="25"/>
      <c r="D17" s="3" t="s">
        <v>131</v>
      </c>
      <c r="E17" s="3" t="s">
        <v>132</v>
      </c>
      <c r="F17" s="3" t="s">
        <v>133</v>
      </c>
      <c r="G17" s="25"/>
      <c r="H17" s="3" t="s">
        <v>21</v>
      </c>
      <c r="I17" s="3" t="s">
        <v>22</v>
      </c>
      <c r="J17" s="3" t="s">
        <v>23</v>
      </c>
      <c r="K17" s="3" t="s">
        <v>24</v>
      </c>
      <c r="L17" s="3" t="s">
        <v>25</v>
      </c>
      <c r="M17" s="3" t="s">
        <v>26</v>
      </c>
      <c r="N17" s="3" t="s">
        <v>27</v>
      </c>
    </row>
    <row r="18" spans="2:14" ht="12.75">
      <c r="B18" s="4" t="s">
        <v>69</v>
      </c>
      <c r="C18" s="2">
        <v>80</v>
      </c>
      <c r="D18" s="8">
        <f>12.03*80/75</f>
        <v>12.831999999999999</v>
      </c>
      <c r="E18" s="8">
        <f>11.98*80/75</f>
        <v>12.778666666666668</v>
      </c>
      <c r="F18" s="8">
        <f>10.55*80/75</f>
        <v>11.253333333333334</v>
      </c>
      <c r="G18" s="9">
        <f>196.05*80/75</f>
        <v>209.12</v>
      </c>
      <c r="H18" s="8">
        <v>0</v>
      </c>
      <c r="I18" s="8">
        <f>0.1*80/75</f>
        <v>0.10666666666666667</v>
      </c>
      <c r="J18" s="8">
        <v>0</v>
      </c>
      <c r="K18" s="8">
        <f>29.3*80/75</f>
        <v>31.253333333333334</v>
      </c>
      <c r="L18" s="8">
        <f>16.25*80/75</f>
        <v>17.333333333333332</v>
      </c>
      <c r="M18" s="8">
        <f>89.8*80/75</f>
        <v>95.78666666666666</v>
      </c>
      <c r="N18" s="8">
        <f>1.09*80/75</f>
        <v>1.1626666666666667</v>
      </c>
    </row>
    <row r="19" spans="2:14" ht="12.75">
      <c r="B19" s="4" t="s">
        <v>35</v>
      </c>
      <c r="C19" s="2">
        <v>50</v>
      </c>
      <c r="D19" s="8">
        <v>0.4</v>
      </c>
      <c r="E19" s="8">
        <v>0.81</v>
      </c>
      <c r="F19" s="8">
        <v>3.55</v>
      </c>
      <c r="G19" s="9">
        <v>22.9</v>
      </c>
      <c r="H19" s="8">
        <v>0</v>
      </c>
      <c r="I19" s="8">
        <v>0</v>
      </c>
      <c r="J19" s="8">
        <v>1.6</v>
      </c>
      <c r="K19" s="8">
        <v>3.8</v>
      </c>
      <c r="L19" s="8">
        <v>2</v>
      </c>
      <c r="M19" s="8">
        <v>8.4</v>
      </c>
      <c r="N19" s="8">
        <v>0.2</v>
      </c>
    </row>
    <row r="20" spans="2:14" ht="12.75">
      <c r="B20" s="6" t="s">
        <v>70</v>
      </c>
      <c r="C20" s="2">
        <v>200</v>
      </c>
      <c r="D20" s="8">
        <v>6.26</v>
      </c>
      <c r="E20" s="8">
        <v>6.53</v>
      </c>
      <c r="F20" s="8">
        <f>36.9*200/150</f>
        <v>49.2</v>
      </c>
      <c r="G20" s="9">
        <v>268.13</v>
      </c>
      <c r="H20" s="8">
        <v>0.02</v>
      </c>
      <c r="I20" s="8">
        <v>0.06</v>
      </c>
      <c r="J20" s="8">
        <v>0</v>
      </c>
      <c r="K20" s="8">
        <f>20.1*200/150</f>
        <v>26.800000000000004</v>
      </c>
      <c r="L20" s="8">
        <v>12.26</v>
      </c>
      <c r="M20" s="8">
        <v>216.6</v>
      </c>
      <c r="N20" s="8">
        <f>1.65*200/150</f>
        <v>2.2</v>
      </c>
    </row>
    <row r="21" spans="2:14" ht="12.75">
      <c r="B21" s="6" t="s">
        <v>71</v>
      </c>
      <c r="C21" s="7">
        <v>200</v>
      </c>
      <c r="D21" s="10">
        <v>1</v>
      </c>
      <c r="E21" s="10">
        <v>0</v>
      </c>
      <c r="F21" s="10">
        <v>18.2</v>
      </c>
      <c r="G21" s="10">
        <v>76</v>
      </c>
      <c r="H21" s="10">
        <v>0</v>
      </c>
      <c r="I21" s="10">
        <v>0.02</v>
      </c>
      <c r="J21" s="10">
        <v>4</v>
      </c>
      <c r="K21" s="10">
        <v>14</v>
      </c>
      <c r="L21" s="10">
        <v>8</v>
      </c>
      <c r="M21" s="10">
        <v>14</v>
      </c>
      <c r="N21" s="10">
        <v>0.6</v>
      </c>
    </row>
    <row r="22" spans="2:14" ht="25.5">
      <c r="B22" s="6" t="s">
        <v>30</v>
      </c>
      <c r="C22" s="7">
        <v>25</v>
      </c>
      <c r="D22" s="10">
        <v>2.02</v>
      </c>
      <c r="E22" s="10">
        <v>0.37</v>
      </c>
      <c r="F22" s="10">
        <v>13.2</v>
      </c>
      <c r="G22" s="10">
        <v>64.5</v>
      </c>
      <c r="H22" s="10">
        <v>0</v>
      </c>
      <c r="I22" s="10">
        <v>0.11</v>
      </c>
      <c r="J22" s="10">
        <v>0</v>
      </c>
      <c r="K22" s="10">
        <v>0</v>
      </c>
      <c r="L22" s="10">
        <v>0</v>
      </c>
      <c r="M22" s="10">
        <v>0</v>
      </c>
      <c r="N22" s="10">
        <v>0.5</v>
      </c>
    </row>
    <row r="23" spans="2:14" ht="12.7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12.75">
      <c r="B24" s="16" t="s">
        <v>31</v>
      </c>
      <c r="C24" s="7"/>
      <c r="D24" s="10">
        <f>SUM(D18:D22)</f>
        <v>22.511999999999997</v>
      </c>
      <c r="E24" s="10">
        <f>SUM(E18:E22)</f>
        <v>20.48866666666667</v>
      </c>
      <c r="F24" s="10">
        <f>SUM(F18:F20)</f>
        <v>64.00333333333333</v>
      </c>
      <c r="G24" s="10">
        <f>SUM(G18:G22)</f>
        <v>640.65</v>
      </c>
      <c r="H24" s="10">
        <f>SUM(H18:H22)</f>
        <v>0.02</v>
      </c>
      <c r="I24" s="10">
        <f>SUM(I18:I22)</f>
        <v>0.2966666666666667</v>
      </c>
      <c r="J24" s="10">
        <f>SUM(J18:J22)</f>
        <v>5.6</v>
      </c>
      <c r="K24" s="10">
        <f>SUM(K18:K20)</f>
        <v>61.85333333333334</v>
      </c>
      <c r="L24" s="10">
        <f>SUM(L18:L22)</f>
        <v>39.593333333333334</v>
      </c>
      <c r="M24" s="10">
        <f>SUM(M18:M22)</f>
        <v>334.78666666666663</v>
      </c>
      <c r="N24" s="10">
        <f>SUM(N18:N20)</f>
        <v>3.562666666666667</v>
      </c>
    </row>
    <row r="25" spans="2:14" ht="12.7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</sheetData>
  <sheetProtection/>
  <mergeCells count="16">
    <mergeCell ref="B16:B17"/>
    <mergeCell ref="C16:C17"/>
    <mergeCell ref="G16:G17"/>
    <mergeCell ref="B3:G3"/>
    <mergeCell ref="B4:G4"/>
    <mergeCell ref="B5:G5"/>
    <mergeCell ref="B6:F6"/>
    <mergeCell ref="D9:J10"/>
    <mergeCell ref="D16:F16"/>
    <mergeCell ref="K16:N16"/>
    <mergeCell ref="I3:M3"/>
    <mergeCell ref="I6:M6"/>
    <mergeCell ref="K12:M12"/>
    <mergeCell ref="K13:M13"/>
    <mergeCell ref="K14:M14"/>
    <mergeCell ref="H16:J16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N28"/>
  <sheetViews>
    <sheetView tabSelected="1" zoomScalePageLayoutView="0" workbookViewId="0" topLeftCell="B1">
      <selection activeCell="P6" sqref="P6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7" ht="12.75">
      <c r="B3" s="19" t="s">
        <v>0</v>
      </c>
      <c r="C3" s="19"/>
      <c r="D3" s="19"/>
      <c r="E3" s="19"/>
      <c r="F3" s="19"/>
      <c r="G3" s="19"/>
    </row>
    <row r="4" spans="2:14" ht="12.75">
      <c r="B4" s="19"/>
      <c r="C4" s="19"/>
      <c r="D4" s="19"/>
      <c r="E4" s="19"/>
      <c r="F4" s="19"/>
      <c r="G4" s="19"/>
      <c r="I4" s="20" t="s">
        <v>1</v>
      </c>
      <c r="J4" s="20"/>
      <c r="K4" s="20"/>
      <c r="L4" s="20"/>
      <c r="M4" s="20"/>
      <c r="N4" s="20"/>
    </row>
    <row r="5" spans="2:7" ht="12.75">
      <c r="B5" s="19"/>
      <c r="C5" s="19"/>
      <c r="D5" s="19"/>
      <c r="E5" s="19"/>
      <c r="F5" s="19"/>
      <c r="G5" s="19"/>
    </row>
    <row r="6" spans="2:13" ht="12.75">
      <c r="B6" s="20" t="s">
        <v>2</v>
      </c>
      <c r="C6" s="20"/>
      <c r="D6" s="20"/>
      <c r="E6" s="20"/>
      <c r="F6" s="20"/>
      <c r="G6" s="20"/>
      <c r="I6" s="1" t="s">
        <v>3</v>
      </c>
      <c r="J6" s="1"/>
      <c r="K6" s="1"/>
      <c r="L6" s="1"/>
      <c r="M6" s="1"/>
    </row>
    <row r="7" spans="2:13" ht="12.75">
      <c r="B7" s="20" t="s">
        <v>4</v>
      </c>
      <c r="C7" s="20"/>
      <c r="D7" s="20"/>
      <c r="E7" s="20"/>
      <c r="F7" s="20"/>
      <c r="G7" s="20"/>
      <c r="I7" s="20" t="s">
        <v>5</v>
      </c>
      <c r="J7" s="20"/>
      <c r="K7" s="20"/>
      <c r="L7" s="20"/>
      <c r="M7" s="20"/>
    </row>
    <row r="8" spans="2:7" ht="12.75">
      <c r="B8" s="20" t="s">
        <v>6</v>
      </c>
      <c r="C8" s="20"/>
      <c r="D8" s="20"/>
      <c r="E8" s="20"/>
      <c r="F8" s="20"/>
      <c r="G8" s="20"/>
    </row>
    <row r="9" spans="2:7" ht="12.75">
      <c r="B9" s="20" t="s">
        <v>7</v>
      </c>
      <c r="C9" s="20"/>
      <c r="D9" s="20"/>
      <c r="E9" s="20"/>
      <c r="F9" s="20"/>
      <c r="G9" s="20"/>
    </row>
    <row r="10" spans="2:13" ht="12.75">
      <c r="B10" s="20" t="s">
        <v>8</v>
      </c>
      <c r="C10" s="20"/>
      <c r="D10" s="20"/>
      <c r="E10" s="20"/>
      <c r="F10" s="20"/>
      <c r="I10" s="20" t="s">
        <v>9</v>
      </c>
      <c r="J10" s="20"/>
      <c r="K10" s="20"/>
      <c r="L10" s="20"/>
      <c r="M10" s="20"/>
    </row>
    <row r="13" spans="4:10" ht="12.75">
      <c r="D13" s="26" t="s">
        <v>32</v>
      </c>
      <c r="E13" s="26"/>
      <c r="F13" s="26"/>
      <c r="G13" s="26"/>
      <c r="H13" s="26"/>
      <c r="I13" s="26"/>
      <c r="J13" s="26"/>
    </row>
    <row r="14" spans="4:10" ht="12.75">
      <c r="D14" s="26"/>
      <c r="E14" s="26"/>
      <c r="F14" s="26"/>
      <c r="G14" s="26"/>
      <c r="H14" s="26"/>
      <c r="I14" s="26"/>
      <c r="J14" s="26"/>
    </row>
    <row r="16" spans="11:13" ht="12.75">
      <c r="K16" s="27" t="s">
        <v>10</v>
      </c>
      <c r="L16" s="27"/>
      <c r="M16" s="27"/>
    </row>
    <row r="17" spans="11:13" ht="12.75">
      <c r="K17" s="20" t="s">
        <v>11</v>
      </c>
      <c r="L17" s="20"/>
      <c r="M17" s="20"/>
    </row>
    <row r="18" spans="11:13" ht="12.75">
      <c r="K18" s="27" t="s">
        <v>77</v>
      </c>
      <c r="L18" s="27"/>
      <c r="M18" s="27"/>
    </row>
    <row r="20" spans="2:14" ht="25.5" customHeight="1">
      <c r="B20" s="24" t="s">
        <v>12</v>
      </c>
      <c r="C20" s="24" t="s">
        <v>13</v>
      </c>
      <c r="D20" s="21" t="s">
        <v>14</v>
      </c>
      <c r="E20" s="22"/>
      <c r="F20" s="23"/>
      <c r="G20" s="24" t="s">
        <v>15</v>
      </c>
      <c r="H20" s="21" t="s">
        <v>16</v>
      </c>
      <c r="I20" s="22"/>
      <c r="J20" s="23"/>
      <c r="K20" s="21" t="s">
        <v>17</v>
      </c>
      <c r="L20" s="22"/>
      <c r="M20" s="22"/>
      <c r="N20" s="23"/>
    </row>
    <row r="21" spans="2:14" ht="12.75">
      <c r="B21" s="25"/>
      <c r="C21" s="25"/>
      <c r="D21" s="3" t="s">
        <v>131</v>
      </c>
      <c r="E21" s="3" t="s">
        <v>132</v>
      </c>
      <c r="F21" s="3" t="s">
        <v>133</v>
      </c>
      <c r="G21" s="25"/>
      <c r="H21" s="3" t="s">
        <v>21</v>
      </c>
      <c r="I21" s="3" t="s">
        <v>22</v>
      </c>
      <c r="J21" s="3" t="s">
        <v>23</v>
      </c>
      <c r="K21" s="3" t="s">
        <v>24</v>
      </c>
      <c r="L21" s="3" t="s">
        <v>25</v>
      </c>
      <c r="M21" s="3" t="s">
        <v>26</v>
      </c>
      <c r="N21" s="3" t="s">
        <v>27</v>
      </c>
    </row>
    <row r="22" spans="2:14" ht="25.5">
      <c r="B22" s="4" t="s">
        <v>34</v>
      </c>
      <c r="C22" s="2" t="s">
        <v>78</v>
      </c>
      <c r="D22" s="5">
        <v>16.1</v>
      </c>
      <c r="E22" s="5">
        <v>14.76</v>
      </c>
      <c r="F22" s="5">
        <v>14.05</v>
      </c>
      <c r="G22" s="2">
        <v>250.38</v>
      </c>
      <c r="H22" s="5">
        <v>0</v>
      </c>
      <c r="I22" s="5">
        <v>0.1</v>
      </c>
      <c r="J22" s="5">
        <v>0</v>
      </c>
      <c r="K22" s="5">
        <v>38.66</v>
      </c>
      <c r="L22" s="5">
        <v>21.61</v>
      </c>
      <c r="M22" s="5">
        <v>119.4</v>
      </c>
      <c r="N22" s="5">
        <v>1.45</v>
      </c>
    </row>
    <row r="23" spans="2:14" ht="12.75">
      <c r="B23" s="4" t="s">
        <v>28</v>
      </c>
      <c r="C23" s="2">
        <v>200</v>
      </c>
      <c r="D23" s="5">
        <v>7.33</v>
      </c>
      <c r="E23" s="5">
        <f>4.8*200/150</f>
        <v>6.4</v>
      </c>
      <c r="F23" s="5">
        <v>52.66</v>
      </c>
      <c r="G23" s="2">
        <v>284.6</v>
      </c>
      <c r="H23" s="5">
        <v>0</v>
      </c>
      <c r="I23" s="5">
        <v>0.13</v>
      </c>
      <c r="J23" s="5">
        <v>0</v>
      </c>
      <c r="K23" s="5">
        <v>10.13</v>
      </c>
      <c r="L23" s="5">
        <v>11.33</v>
      </c>
      <c r="M23" s="5">
        <v>61.33</v>
      </c>
      <c r="N23" s="5">
        <f>0.6*200/150</f>
        <v>0.8</v>
      </c>
    </row>
    <row r="24" spans="2:14" ht="12.75">
      <c r="B24" s="6" t="s">
        <v>36</v>
      </c>
      <c r="C24" s="7" t="s">
        <v>37</v>
      </c>
      <c r="D24" s="7">
        <v>0</v>
      </c>
      <c r="E24" s="7">
        <v>0</v>
      </c>
      <c r="F24" s="7">
        <v>14.35</v>
      </c>
      <c r="G24" s="7">
        <v>58.5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2:14" ht="25.5">
      <c r="B25" s="6" t="s">
        <v>30</v>
      </c>
      <c r="C25" s="7">
        <v>25</v>
      </c>
      <c r="D25" s="7">
        <v>2.02</v>
      </c>
      <c r="E25" s="7">
        <v>0.37</v>
      </c>
      <c r="F25" s="7">
        <v>13.2</v>
      </c>
      <c r="G25" s="7">
        <v>64.5</v>
      </c>
      <c r="H25" s="7">
        <v>0</v>
      </c>
      <c r="I25" s="7">
        <v>0.11</v>
      </c>
      <c r="J25" s="7">
        <v>0</v>
      </c>
      <c r="K25" s="7">
        <v>0</v>
      </c>
      <c r="L25" s="7">
        <v>0</v>
      </c>
      <c r="M25" s="7">
        <v>0</v>
      </c>
      <c r="N25" s="7">
        <v>0.5</v>
      </c>
    </row>
    <row r="26" spans="2:14" ht="12.75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ht="12" customHeight="1">
      <c r="B27" s="16" t="s">
        <v>31</v>
      </c>
      <c r="C27" s="7"/>
      <c r="D27" s="7">
        <f aca="true" t="shared" si="0" ref="D27:N27">SUM(D22:D25)</f>
        <v>25.45</v>
      </c>
      <c r="E27" s="7">
        <f t="shared" si="0"/>
        <v>21.53</v>
      </c>
      <c r="F27" s="7">
        <f t="shared" si="0"/>
        <v>94.25999999999999</v>
      </c>
      <c r="G27" s="7">
        <f t="shared" si="0"/>
        <v>657.98</v>
      </c>
      <c r="H27" s="7">
        <f t="shared" si="0"/>
        <v>0</v>
      </c>
      <c r="I27" s="7">
        <f t="shared" si="0"/>
        <v>0.34</v>
      </c>
      <c r="J27" s="7">
        <f t="shared" si="0"/>
        <v>0</v>
      </c>
      <c r="K27" s="7">
        <f t="shared" si="0"/>
        <v>48.79</v>
      </c>
      <c r="L27" s="7">
        <f t="shared" si="0"/>
        <v>32.94</v>
      </c>
      <c r="M27" s="7">
        <f t="shared" si="0"/>
        <v>180.73000000000002</v>
      </c>
      <c r="N27" s="7">
        <f t="shared" si="0"/>
        <v>2.75</v>
      </c>
    </row>
    <row r="28" spans="2:14" ht="12.7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</sheetData>
  <sheetProtection/>
  <mergeCells count="19">
    <mergeCell ref="B3:G5"/>
    <mergeCell ref="B6:G6"/>
    <mergeCell ref="B7:G7"/>
    <mergeCell ref="B8:G8"/>
    <mergeCell ref="B9:G9"/>
    <mergeCell ref="B10:F10"/>
    <mergeCell ref="D20:F20"/>
    <mergeCell ref="H20:J20"/>
    <mergeCell ref="B20:B21"/>
    <mergeCell ref="C20:C21"/>
    <mergeCell ref="G20:G21"/>
    <mergeCell ref="D13:J14"/>
    <mergeCell ref="K20:N20"/>
    <mergeCell ref="I4:N4"/>
    <mergeCell ref="I7:M7"/>
    <mergeCell ref="I10:M10"/>
    <mergeCell ref="K16:M16"/>
    <mergeCell ref="K17:M17"/>
    <mergeCell ref="K18:M18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N24"/>
  <sheetViews>
    <sheetView zoomScalePageLayoutView="0" workbookViewId="0" topLeftCell="B1">
      <selection activeCell="F17" sqref="F17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7" ht="12.75">
      <c r="B3" s="19"/>
      <c r="C3" s="19"/>
      <c r="D3" s="19"/>
      <c r="E3" s="19"/>
      <c r="F3" s="19"/>
      <c r="G3" s="19"/>
    </row>
    <row r="4" spans="2:14" ht="12.75">
      <c r="B4" s="19"/>
      <c r="C4" s="19"/>
      <c r="D4" s="19"/>
      <c r="E4" s="19"/>
      <c r="F4" s="19"/>
      <c r="G4" s="19"/>
      <c r="I4" s="20"/>
      <c r="J4" s="20"/>
      <c r="K4" s="20"/>
      <c r="L4" s="20"/>
      <c r="M4" s="20"/>
      <c r="N4" s="20"/>
    </row>
    <row r="5" spans="2:7" ht="12.75">
      <c r="B5" s="19"/>
      <c r="C5" s="19"/>
      <c r="D5" s="19"/>
      <c r="E5" s="19"/>
      <c r="F5" s="19"/>
      <c r="G5" s="19"/>
    </row>
    <row r="6" spans="2:13" ht="12.75">
      <c r="B6" s="20"/>
      <c r="C6" s="20"/>
      <c r="D6" s="20"/>
      <c r="E6" s="20"/>
      <c r="F6" s="20"/>
      <c r="I6" s="20"/>
      <c r="J6" s="20"/>
      <c r="K6" s="20"/>
      <c r="L6" s="20"/>
      <c r="M6" s="20"/>
    </row>
    <row r="9" spans="4:10" ht="12.75">
      <c r="D9" s="26" t="s">
        <v>32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2" spans="11:13" ht="12.75">
      <c r="K12" s="27" t="s">
        <v>38</v>
      </c>
      <c r="L12" s="27"/>
      <c r="M12" s="27"/>
    </row>
    <row r="13" spans="11:13" ht="12.75">
      <c r="K13" s="20" t="s">
        <v>11</v>
      </c>
      <c r="L13" s="20"/>
      <c r="M13" s="20"/>
    </row>
    <row r="14" spans="11:13" ht="12.75">
      <c r="K14" s="27" t="s">
        <v>77</v>
      </c>
      <c r="L14" s="27"/>
      <c r="M14" s="27"/>
    </row>
    <row r="16" spans="2:14" ht="25.5" customHeight="1">
      <c r="B16" s="24" t="s">
        <v>12</v>
      </c>
      <c r="C16" s="24" t="s">
        <v>13</v>
      </c>
      <c r="D16" s="21" t="s">
        <v>14</v>
      </c>
      <c r="E16" s="22"/>
      <c r="F16" s="23"/>
      <c r="G16" s="24" t="s">
        <v>15</v>
      </c>
      <c r="H16" s="21" t="s">
        <v>16</v>
      </c>
      <c r="I16" s="22"/>
      <c r="J16" s="23"/>
      <c r="K16" s="21" t="s">
        <v>17</v>
      </c>
      <c r="L16" s="22"/>
      <c r="M16" s="22"/>
      <c r="N16" s="23"/>
    </row>
    <row r="17" spans="2:14" ht="12.75">
      <c r="B17" s="25"/>
      <c r="C17" s="25"/>
      <c r="D17" s="3" t="s">
        <v>131</v>
      </c>
      <c r="E17" s="3" t="s">
        <v>132</v>
      </c>
      <c r="F17" s="3" t="s">
        <v>133</v>
      </c>
      <c r="G17" s="25"/>
      <c r="H17" s="3" t="s">
        <v>21</v>
      </c>
      <c r="I17" s="3" t="s">
        <v>22</v>
      </c>
      <c r="J17" s="3" t="s">
        <v>23</v>
      </c>
      <c r="K17" s="3" t="s">
        <v>24</v>
      </c>
      <c r="L17" s="3" t="s">
        <v>25</v>
      </c>
      <c r="M17" s="3" t="s">
        <v>26</v>
      </c>
      <c r="N17" s="3" t="s">
        <v>27</v>
      </c>
    </row>
    <row r="18" spans="2:14" ht="12.75">
      <c r="B18" s="4" t="s">
        <v>39</v>
      </c>
      <c r="C18" s="2">
        <v>250</v>
      </c>
      <c r="D18" s="5">
        <v>20.6</v>
      </c>
      <c r="E18" s="5">
        <v>18.2</v>
      </c>
      <c r="F18" s="5">
        <v>56.3</v>
      </c>
      <c r="G18" s="2">
        <v>457.9</v>
      </c>
      <c r="H18" s="5">
        <v>0.3</v>
      </c>
      <c r="I18" s="5">
        <v>0.1</v>
      </c>
      <c r="J18" s="5">
        <v>5.6</v>
      </c>
      <c r="K18" s="5">
        <v>37.1</v>
      </c>
      <c r="L18" s="5">
        <v>38</v>
      </c>
      <c r="M18" s="5">
        <v>246.8</v>
      </c>
      <c r="N18" s="5">
        <v>3.8</v>
      </c>
    </row>
    <row r="19" spans="2:14" ht="12.75">
      <c r="B19" s="4" t="s">
        <v>40</v>
      </c>
      <c r="C19" s="2">
        <v>200</v>
      </c>
      <c r="D19" s="5">
        <v>2.6</v>
      </c>
      <c r="E19" s="5">
        <v>1.9</v>
      </c>
      <c r="F19" s="5">
        <v>22.9</v>
      </c>
      <c r="G19" s="2">
        <v>69</v>
      </c>
      <c r="H19" s="5">
        <v>0.02</v>
      </c>
      <c r="I19" s="5">
        <v>0.01</v>
      </c>
      <c r="J19" s="5">
        <v>0.44</v>
      </c>
      <c r="K19" s="5">
        <v>13.4</v>
      </c>
      <c r="L19" s="5">
        <v>8.9</v>
      </c>
      <c r="M19" s="5">
        <v>14.8</v>
      </c>
      <c r="N19" s="5">
        <v>0.11</v>
      </c>
    </row>
    <row r="20" spans="2:14" ht="25.5">
      <c r="B20" s="6" t="s">
        <v>30</v>
      </c>
      <c r="C20" s="7">
        <v>25</v>
      </c>
      <c r="D20" s="7">
        <v>2.02</v>
      </c>
      <c r="E20" s="7">
        <v>0.37</v>
      </c>
      <c r="F20" s="7">
        <v>13.2</v>
      </c>
      <c r="G20" s="7">
        <v>64.5</v>
      </c>
      <c r="H20" s="7">
        <v>0</v>
      </c>
      <c r="I20" s="7">
        <v>0.11</v>
      </c>
      <c r="J20" s="7">
        <v>0</v>
      </c>
      <c r="K20" s="7">
        <v>0</v>
      </c>
      <c r="L20" s="7">
        <v>0</v>
      </c>
      <c r="M20" s="7">
        <v>0</v>
      </c>
      <c r="N20" s="7">
        <v>0.5</v>
      </c>
    </row>
    <row r="21" spans="2:14" ht="12.75">
      <c r="B21" s="6" t="s">
        <v>108</v>
      </c>
      <c r="C21" s="7">
        <v>20</v>
      </c>
      <c r="D21" s="7">
        <v>0.96</v>
      </c>
      <c r="E21" s="7">
        <v>6.94</v>
      </c>
      <c r="F21" s="7">
        <v>11.52</v>
      </c>
      <c r="G21" s="7">
        <v>109.8</v>
      </c>
      <c r="H21" s="7">
        <v>0</v>
      </c>
      <c r="I21" s="7">
        <v>0</v>
      </c>
      <c r="J21" s="7">
        <v>0</v>
      </c>
      <c r="K21" s="7">
        <v>0.6</v>
      </c>
      <c r="L21" s="7">
        <v>1.4</v>
      </c>
      <c r="M21" s="7">
        <v>11.4</v>
      </c>
      <c r="N21" s="7">
        <v>0.2</v>
      </c>
    </row>
    <row r="22" spans="2:14" ht="12.7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12.75">
      <c r="B23" s="16" t="s">
        <v>31</v>
      </c>
      <c r="C23" s="7"/>
      <c r="D23" s="7">
        <f aca="true" t="shared" si="0" ref="D23:N23">SUM(D18:D20)</f>
        <v>25.220000000000002</v>
      </c>
      <c r="E23" s="7">
        <f t="shared" si="0"/>
        <v>20.47</v>
      </c>
      <c r="F23" s="7">
        <f t="shared" si="0"/>
        <v>92.39999999999999</v>
      </c>
      <c r="G23" s="7">
        <f>SUM(G18:G21)</f>
        <v>701.1999999999999</v>
      </c>
      <c r="H23" s="7">
        <f t="shared" si="0"/>
        <v>0.32</v>
      </c>
      <c r="I23" s="7">
        <f t="shared" si="0"/>
        <v>0.22</v>
      </c>
      <c r="J23" s="7">
        <f t="shared" si="0"/>
        <v>6.04</v>
      </c>
      <c r="K23" s="7">
        <f t="shared" si="0"/>
        <v>50.5</v>
      </c>
      <c r="L23" s="7">
        <f t="shared" si="0"/>
        <v>46.9</v>
      </c>
      <c r="M23" s="7">
        <f t="shared" si="0"/>
        <v>261.6</v>
      </c>
      <c r="N23" s="7">
        <f t="shared" si="0"/>
        <v>4.41</v>
      </c>
    </row>
    <row r="24" spans="2:14" ht="12.75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</sheetData>
  <sheetProtection/>
  <mergeCells count="14">
    <mergeCell ref="K16:N16"/>
    <mergeCell ref="I4:N4"/>
    <mergeCell ref="I6:M6"/>
    <mergeCell ref="K12:M12"/>
    <mergeCell ref="K13:M13"/>
    <mergeCell ref="K14:M14"/>
    <mergeCell ref="B3:G5"/>
    <mergeCell ref="B6:F6"/>
    <mergeCell ref="D16:F16"/>
    <mergeCell ref="H16:J16"/>
    <mergeCell ref="B16:B17"/>
    <mergeCell ref="C16:C17"/>
    <mergeCell ref="G16:G17"/>
    <mergeCell ref="D9:J10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N22"/>
  <sheetViews>
    <sheetView zoomScalePageLayoutView="0" workbookViewId="0" topLeftCell="B1">
      <selection activeCell="F14" sqref="F14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I3" s="20"/>
      <c r="J3" s="20"/>
      <c r="K3" s="20"/>
      <c r="L3" s="20"/>
      <c r="M3" s="20"/>
    </row>
    <row r="6" spans="4:10" ht="12.75">
      <c r="D6" s="26" t="s">
        <v>32</v>
      </c>
      <c r="E6" s="26"/>
      <c r="F6" s="26"/>
      <c r="G6" s="26"/>
      <c r="H6" s="26"/>
      <c r="I6" s="26"/>
      <c r="J6" s="26"/>
    </row>
    <row r="7" spans="4:10" ht="12.75">
      <c r="D7" s="26"/>
      <c r="E7" s="26"/>
      <c r="F7" s="26"/>
      <c r="G7" s="26"/>
      <c r="H7" s="26"/>
      <c r="I7" s="26"/>
      <c r="J7" s="26"/>
    </row>
    <row r="9" spans="11:13" ht="12.75">
      <c r="K9" s="27" t="s">
        <v>41</v>
      </c>
      <c r="L9" s="27"/>
      <c r="M9" s="27"/>
    </row>
    <row r="10" spans="11:13" ht="12.75">
      <c r="K10" s="20" t="s">
        <v>11</v>
      </c>
      <c r="L10" s="20"/>
      <c r="M10" s="20"/>
    </row>
    <row r="11" spans="11:13" ht="12.75">
      <c r="K11" s="27" t="s">
        <v>77</v>
      </c>
      <c r="L11" s="27"/>
      <c r="M11" s="27"/>
    </row>
    <row r="13" spans="2:14" ht="25.5" customHeight="1">
      <c r="B13" s="24" t="s">
        <v>12</v>
      </c>
      <c r="C13" s="24" t="s">
        <v>13</v>
      </c>
      <c r="D13" s="21" t="s">
        <v>14</v>
      </c>
      <c r="E13" s="22"/>
      <c r="F13" s="23"/>
      <c r="G13" s="24" t="s">
        <v>15</v>
      </c>
      <c r="H13" s="21" t="s">
        <v>16</v>
      </c>
      <c r="I13" s="22"/>
      <c r="J13" s="23"/>
      <c r="K13" s="21" t="s">
        <v>17</v>
      </c>
      <c r="L13" s="22"/>
      <c r="M13" s="22"/>
      <c r="N13" s="23"/>
    </row>
    <row r="14" spans="2:14" ht="12.75">
      <c r="B14" s="25"/>
      <c r="C14" s="25"/>
      <c r="D14" s="3" t="s">
        <v>131</v>
      </c>
      <c r="E14" s="3" t="s">
        <v>132</v>
      </c>
      <c r="F14" s="3" t="s">
        <v>133</v>
      </c>
      <c r="G14" s="25"/>
      <c r="H14" s="3" t="s">
        <v>21</v>
      </c>
      <c r="I14" s="3" t="s">
        <v>22</v>
      </c>
      <c r="J14" s="3" t="s">
        <v>23</v>
      </c>
      <c r="K14" s="3" t="s">
        <v>24</v>
      </c>
      <c r="L14" s="3" t="s">
        <v>25</v>
      </c>
      <c r="M14" s="3" t="s">
        <v>26</v>
      </c>
      <c r="N14" s="3" t="s">
        <v>27</v>
      </c>
    </row>
    <row r="15" spans="2:14" ht="25.5">
      <c r="B15" s="4" t="s">
        <v>42</v>
      </c>
      <c r="C15" s="2" t="s">
        <v>107</v>
      </c>
      <c r="D15" s="5">
        <f>21.96+0.04</f>
        <v>22</v>
      </c>
      <c r="E15" s="5">
        <f>29.6+3.6</f>
        <v>33.2</v>
      </c>
      <c r="F15" s="5">
        <f>3.9+0.06</f>
        <v>3.96</v>
      </c>
      <c r="G15" s="2">
        <f>369+33</f>
        <v>402</v>
      </c>
      <c r="H15" s="5">
        <v>0.7</v>
      </c>
      <c r="I15" s="5">
        <v>0.1</v>
      </c>
      <c r="J15" s="5">
        <v>0.2</v>
      </c>
      <c r="K15" s="5">
        <f>156+1.2</f>
        <v>157.2</v>
      </c>
      <c r="L15" s="5">
        <f>97+0.02</f>
        <v>97.02</v>
      </c>
      <c r="M15" s="5">
        <f>353.6+1.5</f>
        <v>355.1</v>
      </c>
      <c r="N15" s="5">
        <f>4.18+0.01</f>
        <v>4.1899999999999995</v>
      </c>
    </row>
    <row r="16" spans="2:14" ht="12.75">
      <c r="B16" s="4" t="s">
        <v>43</v>
      </c>
      <c r="C16" s="2">
        <v>30</v>
      </c>
      <c r="D16" s="5">
        <f>5.3*30/20</f>
        <v>7.95</v>
      </c>
      <c r="E16" s="5">
        <f>5.46*30/20</f>
        <v>8.190000000000001</v>
      </c>
      <c r="F16" s="5">
        <v>0</v>
      </c>
      <c r="G16" s="2">
        <f>72.2*30/20</f>
        <v>108.3</v>
      </c>
      <c r="H16" s="5">
        <f>0.05*30/20</f>
        <v>0.075</v>
      </c>
      <c r="I16" s="5">
        <v>0</v>
      </c>
      <c r="J16" s="5">
        <f>0.3*30/20</f>
        <v>0.45</v>
      </c>
      <c r="K16" s="5">
        <v>0.33</v>
      </c>
      <c r="L16" s="5">
        <f>9.4*30/20</f>
        <v>14.1</v>
      </c>
      <c r="M16" s="5">
        <f>108.8*30/20</f>
        <v>163.2</v>
      </c>
      <c r="N16" s="5">
        <f>0.13*30/20</f>
        <v>0.195</v>
      </c>
    </row>
    <row r="17" spans="2:14" ht="25.5">
      <c r="B17" s="6" t="s">
        <v>44</v>
      </c>
      <c r="C17" s="7">
        <v>10</v>
      </c>
      <c r="D17" s="7">
        <v>0.13</v>
      </c>
      <c r="E17" s="7">
        <v>7.25</v>
      </c>
      <c r="F17" s="7">
        <v>0.09</v>
      </c>
      <c r="G17" s="7">
        <v>66.1</v>
      </c>
      <c r="H17" s="7">
        <v>0.04</v>
      </c>
      <c r="I17" s="7">
        <v>0.001</v>
      </c>
      <c r="J17" s="7">
        <v>0</v>
      </c>
      <c r="K17" s="7">
        <v>2.4</v>
      </c>
      <c r="L17" s="7">
        <v>0.3</v>
      </c>
      <c r="M17" s="7">
        <v>2</v>
      </c>
      <c r="N17" s="7">
        <v>0.02</v>
      </c>
    </row>
    <row r="18" spans="2:14" ht="12.75">
      <c r="B18" s="6" t="s">
        <v>45</v>
      </c>
      <c r="C18" s="7">
        <v>200</v>
      </c>
      <c r="D18" s="7">
        <v>3.7</v>
      </c>
      <c r="E18" s="7">
        <v>3.9</v>
      </c>
      <c r="F18" s="7">
        <v>24.8</v>
      </c>
      <c r="G18" s="7">
        <v>147.7</v>
      </c>
      <c r="H18" s="7">
        <v>0.04</v>
      </c>
      <c r="I18" s="7">
        <v>0.02</v>
      </c>
      <c r="J18" s="7">
        <v>1</v>
      </c>
      <c r="K18" s="7">
        <v>120.7</v>
      </c>
      <c r="L18" s="7">
        <v>17.6</v>
      </c>
      <c r="M18" s="7">
        <v>0.6</v>
      </c>
      <c r="N18" s="7">
        <v>125.6</v>
      </c>
    </row>
    <row r="19" spans="2:14" ht="25.5">
      <c r="B19" s="6" t="s">
        <v>30</v>
      </c>
      <c r="C19" s="7">
        <v>25</v>
      </c>
      <c r="D19" s="7">
        <v>2.02</v>
      </c>
      <c r="E19" s="7">
        <v>0.37</v>
      </c>
      <c r="F19" s="7">
        <v>13.2</v>
      </c>
      <c r="G19" s="7">
        <v>64.5</v>
      </c>
      <c r="H19" s="7">
        <v>0</v>
      </c>
      <c r="I19" s="7">
        <v>0.11</v>
      </c>
      <c r="J19" s="7">
        <v>0</v>
      </c>
      <c r="K19" s="7">
        <v>0</v>
      </c>
      <c r="L19" s="7">
        <v>0</v>
      </c>
      <c r="M19" s="7">
        <v>0</v>
      </c>
      <c r="N19" s="7">
        <v>0.5</v>
      </c>
    </row>
    <row r="20" spans="2:14" ht="12.7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ht="12.75">
      <c r="B21" s="16" t="s">
        <v>31</v>
      </c>
      <c r="C21" s="7"/>
      <c r="D21" s="7">
        <f>SUM(D15:D17)</f>
        <v>30.08</v>
      </c>
      <c r="E21" s="7">
        <f>SUM(E15:E17)</f>
        <v>48.64</v>
      </c>
      <c r="F21" s="7">
        <f>SUM(F15:F17)</f>
        <v>4.05</v>
      </c>
      <c r="G21" s="7">
        <f>SUM(G15:G18)</f>
        <v>724.0999999999999</v>
      </c>
      <c r="H21" s="7">
        <f aca="true" t="shared" si="0" ref="H21:N21">SUM(H15:H17)</f>
        <v>0.815</v>
      </c>
      <c r="I21" s="7">
        <f t="shared" si="0"/>
        <v>0.101</v>
      </c>
      <c r="J21" s="7">
        <f t="shared" si="0"/>
        <v>0.65</v>
      </c>
      <c r="K21" s="7">
        <f t="shared" si="0"/>
        <v>159.93</v>
      </c>
      <c r="L21" s="7">
        <f t="shared" si="0"/>
        <v>111.41999999999999</v>
      </c>
      <c r="M21" s="7">
        <f t="shared" si="0"/>
        <v>520.3</v>
      </c>
      <c r="N21" s="7">
        <f t="shared" si="0"/>
        <v>4.404999999999999</v>
      </c>
    </row>
    <row r="22" spans="2:14" ht="12.7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</sheetData>
  <sheetProtection/>
  <mergeCells count="12">
    <mergeCell ref="G13:G14"/>
    <mergeCell ref="D6:J7"/>
    <mergeCell ref="K13:N13"/>
    <mergeCell ref="I3:M3"/>
    <mergeCell ref="K9:M9"/>
    <mergeCell ref="K10:M10"/>
    <mergeCell ref="K11:M11"/>
    <mergeCell ref="B3:F3"/>
    <mergeCell ref="D13:F13"/>
    <mergeCell ref="H13:J13"/>
    <mergeCell ref="B13:B14"/>
    <mergeCell ref="C13:C14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N22"/>
  <sheetViews>
    <sheetView zoomScalePageLayoutView="0" workbookViewId="0" topLeftCell="B1">
      <selection activeCell="F14" sqref="F14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I3" s="20"/>
      <c r="J3" s="20"/>
      <c r="K3" s="20"/>
      <c r="L3" s="20"/>
      <c r="M3" s="20"/>
    </row>
    <row r="6" spans="4:10" ht="12.75">
      <c r="D6" s="26" t="s">
        <v>32</v>
      </c>
      <c r="E6" s="26"/>
      <c r="F6" s="26"/>
      <c r="G6" s="26"/>
      <c r="H6" s="26"/>
      <c r="I6" s="26"/>
      <c r="J6" s="26"/>
    </row>
    <row r="7" spans="4:10" ht="12.75">
      <c r="D7" s="26"/>
      <c r="E7" s="26"/>
      <c r="F7" s="26"/>
      <c r="G7" s="26"/>
      <c r="H7" s="26"/>
      <c r="I7" s="26"/>
      <c r="J7" s="26"/>
    </row>
    <row r="9" spans="11:13" ht="12.75">
      <c r="K9" s="27" t="s">
        <v>46</v>
      </c>
      <c r="L9" s="27"/>
      <c r="M9" s="27"/>
    </row>
    <row r="10" spans="11:13" ht="12.75">
      <c r="K10" s="20" t="s">
        <v>11</v>
      </c>
      <c r="L10" s="20"/>
      <c r="M10" s="20"/>
    </row>
    <row r="11" spans="11:13" ht="12.75">
      <c r="K11" s="27" t="s">
        <v>77</v>
      </c>
      <c r="L11" s="27"/>
      <c r="M11" s="27"/>
    </row>
    <row r="13" spans="2:14" ht="25.5" customHeight="1">
      <c r="B13" s="24" t="s">
        <v>12</v>
      </c>
      <c r="C13" s="24" t="s">
        <v>13</v>
      </c>
      <c r="D13" s="21" t="s">
        <v>14</v>
      </c>
      <c r="E13" s="22"/>
      <c r="F13" s="23"/>
      <c r="G13" s="24" t="s">
        <v>15</v>
      </c>
      <c r="H13" s="21" t="s">
        <v>16</v>
      </c>
      <c r="I13" s="22"/>
      <c r="J13" s="23"/>
      <c r="K13" s="21" t="s">
        <v>17</v>
      </c>
      <c r="L13" s="22"/>
      <c r="M13" s="22"/>
      <c r="N13" s="23"/>
    </row>
    <row r="14" spans="2:14" ht="12.75">
      <c r="B14" s="25"/>
      <c r="C14" s="25"/>
      <c r="D14" s="3" t="s">
        <v>131</v>
      </c>
      <c r="E14" s="3" t="s">
        <v>132</v>
      </c>
      <c r="F14" s="3" t="s">
        <v>133</v>
      </c>
      <c r="G14" s="25"/>
      <c r="H14" s="3" t="s">
        <v>21</v>
      </c>
      <c r="I14" s="3" t="s">
        <v>22</v>
      </c>
      <c r="J14" s="3" t="s">
        <v>23</v>
      </c>
      <c r="K14" s="3" t="s">
        <v>24</v>
      </c>
      <c r="L14" s="3" t="s">
        <v>25</v>
      </c>
      <c r="M14" s="3" t="s">
        <v>26</v>
      </c>
      <c r="N14" s="3" t="s">
        <v>27</v>
      </c>
    </row>
    <row r="15" spans="2:14" ht="25.5">
      <c r="B15" s="4" t="s">
        <v>47</v>
      </c>
      <c r="C15" s="2" t="s">
        <v>48</v>
      </c>
      <c r="D15" s="5">
        <v>5.8</v>
      </c>
      <c r="E15" s="5">
        <v>7.5</v>
      </c>
      <c r="F15" s="5">
        <v>44.6</v>
      </c>
      <c r="G15" s="2">
        <v>258.7</v>
      </c>
      <c r="H15" s="5">
        <v>0.06</v>
      </c>
      <c r="I15" s="5">
        <v>0.02</v>
      </c>
      <c r="J15" s="5">
        <v>1</v>
      </c>
      <c r="K15" s="5">
        <v>130.2</v>
      </c>
      <c r="L15" s="5">
        <v>23.1</v>
      </c>
      <c r="M15" s="5">
        <v>0.9</v>
      </c>
      <c r="N15" s="5">
        <v>138.5</v>
      </c>
    </row>
    <row r="16" spans="2:14" ht="25.5">
      <c r="B16" s="4" t="s">
        <v>49</v>
      </c>
      <c r="C16" s="2">
        <v>100</v>
      </c>
      <c r="D16" s="5">
        <v>10.4</v>
      </c>
      <c r="E16" s="5">
        <v>12.2</v>
      </c>
      <c r="F16" s="5">
        <v>31.1</v>
      </c>
      <c r="G16" s="2">
        <v>267.3</v>
      </c>
      <c r="H16" s="5">
        <v>0.06</v>
      </c>
      <c r="I16" s="5">
        <v>0</v>
      </c>
      <c r="J16" s="5">
        <v>0</v>
      </c>
      <c r="K16" s="5">
        <v>22.8</v>
      </c>
      <c r="L16" s="5">
        <v>17.5</v>
      </c>
      <c r="M16" s="5">
        <v>1.4</v>
      </c>
      <c r="N16" s="5">
        <v>117.8</v>
      </c>
    </row>
    <row r="17" spans="2:14" ht="25.5">
      <c r="B17" s="4" t="s">
        <v>56</v>
      </c>
      <c r="C17" s="2">
        <v>200</v>
      </c>
      <c r="D17" s="5">
        <v>0</v>
      </c>
      <c r="E17" s="5">
        <v>0</v>
      </c>
      <c r="F17" s="5">
        <v>8.4</v>
      </c>
      <c r="G17" s="2">
        <v>33</v>
      </c>
      <c r="H17" s="5">
        <v>0.5</v>
      </c>
      <c r="I17" s="5">
        <v>0.49</v>
      </c>
      <c r="J17" s="5">
        <v>30</v>
      </c>
      <c r="K17" s="5">
        <v>0</v>
      </c>
      <c r="L17" s="5">
        <v>0</v>
      </c>
      <c r="M17" s="5">
        <v>0</v>
      </c>
      <c r="N17" s="5">
        <v>0</v>
      </c>
    </row>
    <row r="18" spans="2:14" ht="25.5">
      <c r="B18" s="6" t="s">
        <v>30</v>
      </c>
      <c r="C18" s="7">
        <v>25</v>
      </c>
      <c r="D18" s="7">
        <v>2.02</v>
      </c>
      <c r="E18" s="7">
        <v>0.37</v>
      </c>
      <c r="F18" s="7">
        <v>13.2</v>
      </c>
      <c r="G18" s="7">
        <v>64.5</v>
      </c>
      <c r="H18" s="7">
        <v>0</v>
      </c>
      <c r="I18" s="7">
        <v>0.11</v>
      </c>
      <c r="J18" s="7">
        <v>0</v>
      </c>
      <c r="K18" s="7">
        <v>0</v>
      </c>
      <c r="L18" s="7">
        <v>0</v>
      </c>
      <c r="M18" s="7">
        <v>0</v>
      </c>
      <c r="N18" s="7">
        <v>0.5</v>
      </c>
    </row>
    <row r="19" spans="2:14" ht="12.75">
      <c r="B19" s="6" t="s">
        <v>108</v>
      </c>
      <c r="C19" s="7">
        <v>20</v>
      </c>
      <c r="D19" s="7">
        <v>0.96</v>
      </c>
      <c r="E19" s="7">
        <v>6.94</v>
      </c>
      <c r="F19" s="7">
        <v>11.52</v>
      </c>
      <c r="G19" s="7">
        <v>109.8</v>
      </c>
      <c r="H19" s="7">
        <v>0</v>
      </c>
      <c r="I19" s="7">
        <v>0</v>
      </c>
      <c r="J19" s="7">
        <v>0</v>
      </c>
      <c r="K19" s="7">
        <v>0.6</v>
      </c>
      <c r="L19" s="7">
        <v>1.4</v>
      </c>
      <c r="M19" s="7">
        <v>11.4</v>
      </c>
      <c r="N19" s="7">
        <v>0.2</v>
      </c>
    </row>
    <row r="20" spans="2:14" ht="12.7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ht="12.75">
      <c r="B21" s="16" t="s">
        <v>31</v>
      </c>
      <c r="C21" s="7"/>
      <c r="D21" s="7">
        <f>SUM(D15:D17)</f>
        <v>16.2</v>
      </c>
      <c r="E21" s="7">
        <f>SUM(E15:E17)</f>
        <v>19.7</v>
      </c>
      <c r="F21" s="7">
        <f>SUM(F15:F17)</f>
        <v>84.10000000000001</v>
      </c>
      <c r="G21" s="7">
        <f>SUM(G15:G19)</f>
        <v>733.3</v>
      </c>
      <c r="H21" s="7">
        <f aca="true" t="shared" si="0" ref="H21:N21">SUM(H15:H17)</f>
        <v>0.62</v>
      </c>
      <c r="I21" s="7">
        <f t="shared" si="0"/>
        <v>0.51</v>
      </c>
      <c r="J21" s="7">
        <f t="shared" si="0"/>
        <v>31</v>
      </c>
      <c r="K21" s="7">
        <f t="shared" si="0"/>
        <v>153</v>
      </c>
      <c r="L21" s="7">
        <f t="shared" si="0"/>
        <v>40.6</v>
      </c>
      <c r="M21" s="7">
        <f t="shared" si="0"/>
        <v>2.3</v>
      </c>
      <c r="N21" s="7">
        <f t="shared" si="0"/>
        <v>256.3</v>
      </c>
    </row>
    <row r="22" spans="2:14" ht="12.7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</sheetData>
  <sheetProtection/>
  <mergeCells count="12">
    <mergeCell ref="B13:B14"/>
    <mergeCell ref="C13:C14"/>
    <mergeCell ref="G13:G14"/>
    <mergeCell ref="D6:J7"/>
    <mergeCell ref="K13:N13"/>
    <mergeCell ref="I3:M3"/>
    <mergeCell ref="K9:M9"/>
    <mergeCell ref="K10:M10"/>
    <mergeCell ref="K11:M11"/>
    <mergeCell ref="B3:F3"/>
    <mergeCell ref="D13:F13"/>
    <mergeCell ref="H13:J13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N22"/>
  <sheetViews>
    <sheetView zoomScalePageLayoutView="0" workbookViewId="0" topLeftCell="B1">
      <selection activeCell="F15" sqref="F15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7" ht="12.75">
      <c r="B3" s="20"/>
      <c r="C3" s="20"/>
      <c r="D3" s="20"/>
      <c r="E3" s="20"/>
      <c r="F3" s="20"/>
      <c r="G3" s="20"/>
    </row>
    <row r="4" spans="2:13" ht="12.75">
      <c r="B4" s="20"/>
      <c r="C4" s="20"/>
      <c r="D4" s="20"/>
      <c r="E4" s="20"/>
      <c r="F4" s="20"/>
      <c r="I4" s="20"/>
      <c r="J4" s="20"/>
      <c r="K4" s="20"/>
      <c r="L4" s="20"/>
      <c r="M4" s="20"/>
    </row>
    <row r="7" spans="4:10" ht="12.75">
      <c r="D7" s="26" t="s">
        <v>32</v>
      </c>
      <c r="E7" s="26"/>
      <c r="F7" s="26"/>
      <c r="G7" s="26"/>
      <c r="H7" s="26"/>
      <c r="I7" s="26"/>
      <c r="J7" s="26"/>
    </row>
    <row r="8" spans="4:10" ht="12.75">
      <c r="D8" s="26"/>
      <c r="E8" s="26"/>
      <c r="F8" s="26"/>
      <c r="G8" s="26"/>
      <c r="H8" s="26"/>
      <c r="I8" s="26"/>
      <c r="J8" s="26"/>
    </row>
    <row r="10" spans="11:13" ht="12.75">
      <c r="K10" s="27" t="s">
        <v>50</v>
      </c>
      <c r="L10" s="27"/>
      <c r="M10" s="27"/>
    </row>
    <row r="11" spans="11:13" ht="12.75">
      <c r="K11" s="20" t="s">
        <v>11</v>
      </c>
      <c r="L11" s="20"/>
      <c r="M11" s="20"/>
    </row>
    <row r="12" spans="11:13" ht="12.75">
      <c r="K12" s="27" t="s">
        <v>77</v>
      </c>
      <c r="L12" s="27"/>
      <c r="M12" s="27"/>
    </row>
    <row r="14" spans="2:14" ht="25.5" customHeight="1">
      <c r="B14" s="24" t="s">
        <v>12</v>
      </c>
      <c r="C14" s="24" t="s">
        <v>13</v>
      </c>
      <c r="D14" s="21" t="s">
        <v>14</v>
      </c>
      <c r="E14" s="22"/>
      <c r="F14" s="23"/>
      <c r="G14" s="24" t="s">
        <v>15</v>
      </c>
      <c r="H14" s="21" t="s">
        <v>16</v>
      </c>
      <c r="I14" s="22"/>
      <c r="J14" s="23"/>
      <c r="K14" s="21" t="s">
        <v>17</v>
      </c>
      <c r="L14" s="22"/>
      <c r="M14" s="22"/>
      <c r="N14" s="23"/>
    </row>
    <row r="15" spans="2:14" ht="12.75">
      <c r="B15" s="25"/>
      <c r="C15" s="25"/>
      <c r="D15" s="3" t="s">
        <v>131</v>
      </c>
      <c r="E15" s="3" t="s">
        <v>132</v>
      </c>
      <c r="F15" s="3" t="s">
        <v>133</v>
      </c>
      <c r="G15" s="25"/>
      <c r="H15" s="3" t="s">
        <v>21</v>
      </c>
      <c r="I15" s="3" t="s">
        <v>22</v>
      </c>
      <c r="J15" s="3" t="s">
        <v>23</v>
      </c>
      <c r="K15" s="3" t="s">
        <v>24</v>
      </c>
      <c r="L15" s="3" t="s">
        <v>25</v>
      </c>
      <c r="M15" s="3" t="s">
        <v>26</v>
      </c>
      <c r="N15" s="3" t="s">
        <v>27</v>
      </c>
    </row>
    <row r="16" spans="2:14" ht="12.75">
      <c r="B16" s="4" t="s">
        <v>51</v>
      </c>
      <c r="C16" s="2" t="s">
        <v>80</v>
      </c>
      <c r="D16" s="5">
        <f>24*100/75</f>
        <v>32</v>
      </c>
      <c r="E16" s="5">
        <f>22.2*100/75</f>
        <v>29.6</v>
      </c>
      <c r="F16" s="5">
        <f>8.7*100/75</f>
        <v>11.599999999999998</v>
      </c>
      <c r="G16" s="2">
        <v>405.6</v>
      </c>
      <c r="H16" s="5">
        <v>0</v>
      </c>
      <c r="I16" s="5">
        <f>0.15*100/75</f>
        <v>0.2</v>
      </c>
      <c r="J16" s="5">
        <f>6.9*100/75</f>
        <v>9.2</v>
      </c>
      <c r="K16" s="5">
        <f>22.2*100/75</f>
        <v>29.6</v>
      </c>
      <c r="L16" s="5">
        <f>28.95*100/75</f>
        <v>38.6</v>
      </c>
      <c r="M16" s="5">
        <f>265.35*100/75</f>
        <v>353.80000000000007</v>
      </c>
      <c r="N16" s="5">
        <f>3.45*100/75</f>
        <v>4.6</v>
      </c>
    </row>
    <row r="17" spans="2:14" ht="12.75">
      <c r="B17" s="4" t="s">
        <v>52</v>
      </c>
      <c r="C17" s="2">
        <v>200</v>
      </c>
      <c r="D17" s="5">
        <v>10.5</v>
      </c>
      <c r="E17" s="5">
        <v>7.78</v>
      </c>
      <c r="F17" s="5">
        <v>56.6</v>
      </c>
      <c r="G17" s="2">
        <v>325.9</v>
      </c>
      <c r="H17" s="5">
        <v>0</v>
      </c>
      <c r="I17" s="5">
        <v>0.4</v>
      </c>
      <c r="J17" s="5">
        <v>0</v>
      </c>
      <c r="K17" s="5">
        <v>59.6</v>
      </c>
      <c r="L17" s="5">
        <v>81.19</v>
      </c>
      <c r="M17" s="5">
        <v>234.6</v>
      </c>
      <c r="N17" s="5">
        <v>6.58</v>
      </c>
    </row>
    <row r="18" spans="2:14" ht="12.75">
      <c r="B18" s="6" t="s">
        <v>36</v>
      </c>
      <c r="C18" s="7" t="s">
        <v>37</v>
      </c>
      <c r="D18" s="7">
        <v>0</v>
      </c>
      <c r="E18" s="7">
        <v>0</v>
      </c>
      <c r="F18" s="7">
        <v>14.35</v>
      </c>
      <c r="G18" s="7">
        <v>58.5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</row>
    <row r="19" spans="2:14" ht="25.5">
      <c r="B19" s="6" t="s">
        <v>30</v>
      </c>
      <c r="C19" s="7">
        <v>25</v>
      </c>
      <c r="D19" s="7">
        <v>2.02</v>
      </c>
      <c r="E19" s="7">
        <v>0.37</v>
      </c>
      <c r="F19" s="7">
        <v>13.2</v>
      </c>
      <c r="G19" s="7">
        <v>64.5</v>
      </c>
      <c r="H19" s="7">
        <v>0</v>
      </c>
      <c r="I19" s="7">
        <v>0.11</v>
      </c>
      <c r="J19" s="7">
        <v>0</v>
      </c>
      <c r="K19" s="7">
        <v>0</v>
      </c>
      <c r="L19" s="7">
        <v>0</v>
      </c>
      <c r="M19" s="7">
        <v>0</v>
      </c>
      <c r="N19" s="7">
        <v>0.5</v>
      </c>
    </row>
    <row r="20" spans="2:14" ht="12.7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ht="12.75">
      <c r="B21" s="16" t="s">
        <v>31</v>
      </c>
      <c r="C21" s="7"/>
      <c r="D21" s="7">
        <f>SUM(D16:D18)</f>
        <v>42.5</v>
      </c>
      <c r="E21" s="7">
        <f>SUM(E16:E18)</f>
        <v>37.38</v>
      </c>
      <c r="F21" s="7">
        <f>SUM(F16:F18)</f>
        <v>82.55</v>
      </c>
      <c r="G21" s="7">
        <f>SUM(G16:G19)</f>
        <v>854.5</v>
      </c>
      <c r="H21" s="7">
        <f aca="true" t="shared" si="0" ref="H21:N21">SUM(H16:H18)</f>
        <v>0</v>
      </c>
      <c r="I21" s="7">
        <f t="shared" si="0"/>
        <v>0.6000000000000001</v>
      </c>
      <c r="J21" s="7">
        <f t="shared" si="0"/>
        <v>9.2</v>
      </c>
      <c r="K21" s="7">
        <f t="shared" si="0"/>
        <v>89.2</v>
      </c>
      <c r="L21" s="7">
        <f t="shared" si="0"/>
        <v>119.78999999999999</v>
      </c>
      <c r="M21" s="7">
        <f t="shared" si="0"/>
        <v>588.4000000000001</v>
      </c>
      <c r="N21" s="7">
        <f t="shared" si="0"/>
        <v>11.18</v>
      </c>
    </row>
    <row r="22" spans="2:14" ht="12.7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</sheetData>
  <sheetProtection/>
  <mergeCells count="13">
    <mergeCell ref="C14:C15"/>
    <mergeCell ref="G14:G15"/>
    <mergeCell ref="D7:J8"/>
    <mergeCell ref="K14:N14"/>
    <mergeCell ref="I4:M4"/>
    <mergeCell ref="K10:M10"/>
    <mergeCell ref="K11:M11"/>
    <mergeCell ref="K12:M12"/>
    <mergeCell ref="B3:G3"/>
    <mergeCell ref="B4:F4"/>
    <mergeCell ref="D14:F14"/>
    <mergeCell ref="H14:J14"/>
    <mergeCell ref="B14:B15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N22"/>
  <sheetViews>
    <sheetView zoomScalePageLayoutView="0" workbookViewId="0" topLeftCell="B1">
      <selection activeCell="F15" sqref="F15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7" ht="12.75">
      <c r="B3" s="20"/>
      <c r="C3" s="20"/>
      <c r="D3" s="20"/>
      <c r="E3" s="20"/>
      <c r="F3" s="20"/>
      <c r="G3" s="20"/>
    </row>
    <row r="4" spans="2:13" ht="12.75">
      <c r="B4" s="20"/>
      <c r="C4" s="20"/>
      <c r="D4" s="20"/>
      <c r="E4" s="20"/>
      <c r="F4" s="20"/>
      <c r="I4" s="20"/>
      <c r="J4" s="20"/>
      <c r="K4" s="20"/>
      <c r="L4" s="20"/>
      <c r="M4" s="20"/>
    </row>
    <row r="7" spans="4:10" ht="12.75">
      <c r="D7" s="26" t="s">
        <v>32</v>
      </c>
      <c r="E7" s="26"/>
      <c r="F7" s="26"/>
      <c r="G7" s="26"/>
      <c r="H7" s="26"/>
      <c r="I7" s="26"/>
      <c r="J7" s="26"/>
    </row>
    <row r="8" spans="4:10" ht="12.75">
      <c r="D8" s="26"/>
      <c r="E8" s="26"/>
      <c r="F8" s="26"/>
      <c r="G8" s="26"/>
      <c r="H8" s="26"/>
      <c r="I8" s="26"/>
      <c r="J8" s="26"/>
    </row>
    <row r="10" spans="11:13" ht="12.75">
      <c r="K10" s="27" t="s">
        <v>53</v>
      </c>
      <c r="L10" s="27"/>
      <c r="M10" s="27"/>
    </row>
    <row r="11" spans="11:13" ht="12.75">
      <c r="K11" s="20" t="s">
        <v>11</v>
      </c>
      <c r="L11" s="20"/>
      <c r="M11" s="20"/>
    </row>
    <row r="12" spans="11:13" ht="12.75">
      <c r="K12" s="27" t="s">
        <v>77</v>
      </c>
      <c r="L12" s="27"/>
      <c r="M12" s="27"/>
    </row>
    <row r="13" spans="11:13" ht="12.75">
      <c r="K13" s="18"/>
      <c r="L13" s="18"/>
      <c r="M13" s="18"/>
    </row>
    <row r="14" spans="2:14" ht="25.5" customHeight="1">
      <c r="B14" s="24" t="s">
        <v>12</v>
      </c>
      <c r="C14" s="24" t="s">
        <v>13</v>
      </c>
      <c r="D14" s="21" t="s">
        <v>14</v>
      </c>
      <c r="E14" s="22"/>
      <c r="F14" s="23"/>
      <c r="G14" s="24" t="s">
        <v>15</v>
      </c>
      <c r="H14" s="21" t="s">
        <v>16</v>
      </c>
      <c r="I14" s="22"/>
      <c r="J14" s="23"/>
      <c r="K14" s="21" t="s">
        <v>17</v>
      </c>
      <c r="L14" s="22"/>
      <c r="M14" s="22"/>
      <c r="N14" s="23"/>
    </row>
    <row r="15" spans="2:14" ht="12.75">
      <c r="B15" s="25"/>
      <c r="C15" s="25"/>
      <c r="D15" s="3" t="s">
        <v>131</v>
      </c>
      <c r="E15" s="3" t="s">
        <v>132</v>
      </c>
      <c r="F15" s="3" t="s">
        <v>133</v>
      </c>
      <c r="G15" s="25"/>
      <c r="H15" s="3" t="s">
        <v>21</v>
      </c>
      <c r="I15" s="3" t="s">
        <v>22</v>
      </c>
      <c r="J15" s="3" t="s">
        <v>23</v>
      </c>
      <c r="K15" s="3" t="s">
        <v>24</v>
      </c>
      <c r="L15" s="3" t="s">
        <v>25</v>
      </c>
      <c r="M15" s="3" t="s">
        <v>26</v>
      </c>
      <c r="N15" s="3" t="s">
        <v>27</v>
      </c>
    </row>
    <row r="16" spans="2:14" ht="25.5">
      <c r="B16" s="4" t="s">
        <v>54</v>
      </c>
      <c r="C16" s="2" t="s">
        <v>86</v>
      </c>
      <c r="D16" s="5">
        <f>14.64+1.44</f>
        <v>16.080000000000002</v>
      </c>
      <c r="E16" s="5">
        <f>17.1+1.7</f>
        <v>18.8</v>
      </c>
      <c r="F16" s="5">
        <f>92.74+8.7</f>
        <v>101.44</v>
      </c>
      <c r="G16" s="2">
        <f>565+64</f>
        <v>629</v>
      </c>
      <c r="H16" s="5">
        <v>0.025</v>
      </c>
      <c r="I16" s="5">
        <v>0.21</v>
      </c>
      <c r="J16" s="5">
        <v>0.2</v>
      </c>
      <c r="K16" s="5">
        <f>22.6+61.4</f>
        <v>84</v>
      </c>
      <c r="L16" s="5">
        <f>21.3+6.8</f>
        <v>28.1</v>
      </c>
      <c r="M16" s="5">
        <v>2.2</v>
      </c>
      <c r="N16" s="5">
        <f>103.9+43.8</f>
        <v>147.7</v>
      </c>
    </row>
    <row r="17" spans="2:14" ht="25.5">
      <c r="B17" s="4" t="s">
        <v>56</v>
      </c>
      <c r="C17" s="2">
        <v>200</v>
      </c>
      <c r="D17" s="5">
        <v>0</v>
      </c>
      <c r="E17" s="5">
        <v>0</v>
      </c>
      <c r="F17" s="5">
        <v>8.4</v>
      </c>
      <c r="G17" s="2">
        <v>33</v>
      </c>
      <c r="H17" s="5">
        <v>0.5</v>
      </c>
      <c r="I17" s="5">
        <v>0.49</v>
      </c>
      <c r="J17" s="5">
        <v>30</v>
      </c>
      <c r="K17" s="5">
        <v>0</v>
      </c>
      <c r="L17" s="5">
        <v>0</v>
      </c>
      <c r="M17" s="5">
        <v>0</v>
      </c>
      <c r="N17" s="5">
        <v>0</v>
      </c>
    </row>
    <row r="18" spans="2:14" ht="12.75">
      <c r="B18" s="6" t="s">
        <v>57</v>
      </c>
      <c r="C18" s="7">
        <v>20</v>
      </c>
      <c r="D18" s="7">
        <v>0.96</v>
      </c>
      <c r="E18" s="7">
        <v>6.94</v>
      </c>
      <c r="F18" s="7">
        <v>11.52</v>
      </c>
      <c r="G18" s="7">
        <v>109.8</v>
      </c>
      <c r="H18" s="7">
        <v>0</v>
      </c>
      <c r="I18" s="7">
        <v>0</v>
      </c>
      <c r="J18" s="7">
        <v>0</v>
      </c>
      <c r="K18" s="7">
        <v>0.6</v>
      </c>
      <c r="L18" s="7">
        <v>1.4</v>
      </c>
      <c r="M18" s="7">
        <v>11.4</v>
      </c>
      <c r="N18" s="7">
        <v>0.2</v>
      </c>
    </row>
    <row r="19" spans="2:14" ht="12.7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ht="12.7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ht="12.75">
      <c r="B21" s="16" t="s">
        <v>31</v>
      </c>
      <c r="C21" s="7"/>
      <c r="D21" s="7">
        <f>SUM(D16:D18)</f>
        <v>17.040000000000003</v>
      </c>
      <c r="E21" s="7">
        <f>SUM(E16:E18)</f>
        <v>25.740000000000002</v>
      </c>
      <c r="F21" s="7">
        <f>SUM(F16:F18)</f>
        <v>121.36</v>
      </c>
      <c r="G21" s="7">
        <f>SUM(G16:G19)</f>
        <v>771.8</v>
      </c>
      <c r="H21" s="7">
        <f aca="true" t="shared" si="0" ref="H21:N21">SUM(H16:H18)</f>
        <v>0.525</v>
      </c>
      <c r="I21" s="7">
        <f t="shared" si="0"/>
        <v>0.7</v>
      </c>
      <c r="J21" s="7">
        <f t="shared" si="0"/>
        <v>30.2</v>
      </c>
      <c r="K21" s="7">
        <f t="shared" si="0"/>
        <v>84.6</v>
      </c>
      <c r="L21" s="7">
        <f t="shared" si="0"/>
        <v>29.5</v>
      </c>
      <c r="M21" s="7">
        <f t="shared" si="0"/>
        <v>13.600000000000001</v>
      </c>
      <c r="N21" s="7">
        <f t="shared" si="0"/>
        <v>147.89999999999998</v>
      </c>
    </row>
    <row r="22" spans="2:14" ht="12.7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</sheetData>
  <sheetProtection/>
  <mergeCells count="13">
    <mergeCell ref="B3:G3"/>
    <mergeCell ref="B4:F4"/>
    <mergeCell ref="D14:F14"/>
    <mergeCell ref="H14:J14"/>
    <mergeCell ref="B14:B15"/>
    <mergeCell ref="C14:C15"/>
    <mergeCell ref="G14:G15"/>
    <mergeCell ref="D7:J8"/>
    <mergeCell ref="K14:N14"/>
    <mergeCell ref="I4:M4"/>
    <mergeCell ref="K10:M10"/>
    <mergeCell ref="K11:M11"/>
    <mergeCell ref="K12:M12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N24"/>
  <sheetViews>
    <sheetView zoomScalePageLayoutView="0" workbookViewId="0" topLeftCell="B1">
      <selection activeCell="F15" sqref="F15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7" ht="12.75">
      <c r="B3" s="20"/>
      <c r="C3" s="20"/>
      <c r="D3" s="20"/>
      <c r="E3" s="20"/>
      <c r="F3" s="20"/>
      <c r="G3" s="20"/>
    </row>
    <row r="4" spans="2:13" ht="12.75">
      <c r="B4" s="20"/>
      <c r="C4" s="20"/>
      <c r="D4" s="20"/>
      <c r="E4" s="20"/>
      <c r="F4" s="20"/>
      <c r="I4" s="20"/>
      <c r="J4" s="20"/>
      <c r="K4" s="20"/>
      <c r="L4" s="20"/>
      <c r="M4" s="20"/>
    </row>
    <row r="7" spans="4:10" ht="12.75">
      <c r="D7" s="26" t="s">
        <v>32</v>
      </c>
      <c r="E7" s="26"/>
      <c r="F7" s="26"/>
      <c r="G7" s="26"/>
      <c r="H7" s="26"/>
      <c r="I7" s="26"/>
      <c r="J7" s="26"/>
    </row>
    <row r="8" spans="4:10" ht="12.75">
      <c r="D8" s="26"/>
      <c r="E8" s="26"/>
      <c r="F8" s="26"/>
      <c r="G8" s="26"/>
      <c r="H8" s="26"/>
      <c r="I8" s="26"/>
      <c r="J8" s="26"/>
    </row>
    <row r="10" spans="11:13" ht="12.75">
      <c r="K10" s="27" t="s">
        <v>58</v>
      </c>
      <c r="L10" s="27"/>
      <c r="M10" s="27"/>
    </row>
    <row r="11" spans="11:13" ht="12.75">
      <c r="K11" s="20" t="s">
        <v>11</v>
      </c>
      <c r="L11" s="20"/>
      <c r="M11" s="20"/>
    </row>
    <row r="12" spans="11:13" ht="12.75">
      <c r="K12" s="27" t="s">
        <v>77</v>
      </c>
      <c r="L12" s="27"/>
      <c r="M12" s="27"/>
    </row>
    <row r="14" spans="2:14" ht="25.5" customHeight="1">
      <c r="B14" s="24" t="s">
        <v>12</v>
      </c>
      <c r="C14" s="24" t="s">
        <v>13</v>
      </c>
      <c r="D14" s="21" t="s">
        <v>14</v>
      </c>
      <c r="E14" s="22"/>
      <c r="F14" s="23"/>
      <c r="G14" s="24" t="s">
        <v>15</v>
      </c>
      <c r="H14" s="21" t="s">
        <v>16</v>
      </c>
      <c r="I14" s="22"/>
      <c r="J14" s="23"/>
      <c r="K14" s="21" t="s">
        <v>17</v>
      </c>
      <c r="L14" s="22"/>
      <c r="M14" s="22"/>
      <c r="N14" s="23"/>
    </row>
    <row r="15" spans="2:14" ht="12.75">
      <c r="B15" s="25"/>
      <c r="C15" s="25"/>
      <c r="D15" s="3" t="s">
        <v>131</v>
      </c>
      <c r="E15" s="3" t="s">
        <v>132</v>
      </c>
      <c r="F15" s="3" t="s">
        <v>133</v>
      </c>
      <c r="G15" s="25"/>
      <c r="H15" s="3" t="s">
        <v>21</v>
      </c>
      <c r="I15" s="3" t="s">
        <v>22</v>
      </c>
      <c r="J15" s="3" t="s">
        <v>23</v>
      </c>
      <c r="K15" s="3" t="s">
        <v>24</v>
      </c>
      <c r="L15" s="3" t="s">
        <v>25</v>
      </c>
      <c r="M15" s="3" t="s">
        <v>26</v>
      </c>
      <c r="N15" s="3" t="s">
        <v>27</v>
      </c>
    </row>
    <row r="16" spans="2:14" ht="12.75">
      <c r="B16" s="4" t="s">
        <v>59</v>
      </c>
      <c r="C16" s="2">
        <v>100</v>
      </c>
      <c r="D16" s="5">
        <v>25.2</v>
      </c>
      <c r="E16" s="5">
        <v>17.6</v>
      </c>
      <c r="F16" s="5">
        <v>0.2</v>
      </c>
      <c r="G16" s="2">
        <v>264.4</v>
      </c>
      <c r="H16" s="5">
        <v>0.06</v>
      </c>
      <c r="I16" s="5">
        <v>0.1</v>
      </c>
      <c r="J16" s="5">
        <v>0.2</v>
      </c>
      <c r="K16" s="5">
        <v>14.4</v>
      </c>
      <c r="L16" s="5">
        <v>36.4</v>
      </c>
      <c r="M16" s="5">
        <v>304.2</v>
      </c>
      <c r="N16" s="5">
        <v>2.2</v>
      </c>
    </row>
    <row r="17" spans="2:14" ht="12.75">
      <c r="B17" s="4" t="s">
        <v>35</v>
      </c>
      <c r="C17" s="2">
        <v>50</v>
      </c>
      <c r="D17" s="5">
        <v>0.4</v>
      </c>
      <c r="E17" s="5">
        <v>0.81</v>
      </c>
      <c r="F17" s="5">
        <v>3.55</v>
      </c>
      <c r="G17" s="2">
        <v>22.9</v>
      </c>
      <c r="H17" s="5">
        <v>0</v>
      </c>
      <c r="I17" s="5">
        <v>0</v>
      </c>
      <c r="J17" s="5">
        <v>1.6</v>
      </c>
      <c r="K17" s="5">
        <v>3.8</v>
      </c>
      <c r="L17" s="5">
        <v>2</v>
      </c>
      <c r="M17" s="5">
        <v>8.4</v>
      </c>
      <c r="N17" s="5">
        <v>0.2</v>
      </c>
    </row>
    <row r="18" spans="2:14" ht="12.75">
      <c r="B18" s="6" t="s">
        <v>60</v>
      </c>
      <c r="C18" s="7">
        <v>200</v>
      </c>
      <c r="D18" s="7">
        <v>4.25</v>
      </c>
      <c r="E18" s="7">
        <v>6.9</v>
      </c>
      <c r="F18" s="7">
        <v>35.1</v>
      </c>
      <c r="G18" s="7">
        <v>211.07</v>
      </c>
      <c r="H18" s="7">
        <v>0.05</v>
      </c>
      <c r="I18" s="7">
        <v>0.19</v>
      </c>
      <c r="J18" s="7">
        <v>34.3</v>
      </c>
      <c r="K18" s="7">
        <v>53.7</v>
      </c>
      <c r="L18" s="7">
        <v>44.69</v>
      </c>
      <c r="M18" s="7">
        <v>130.2</v>
      </c>
      <c r="N18" s="7">
        <v>1.59</v>
      </c>
    </row>
    <row r="19" spans="2:14" ht="25.5">
      <c r="B19" s="6" t="s">
        <v>61</v>
      </c>
      <c r="C19" s="7">
        <v>200</v>
      </c>
      <c r="D19" s="7">
        <v>0</v>
      </c>
      <c r="E19" s="7">
        <v>0</v>
      </c>
      <c r="F19" s="7">
        <v>18.4</v>
      </c>
      <c r="G19" s="7">
        <v>74</v>
      </c>
      <c r="H19" s="7">
        <v>0.5</v>
      </c>
      <c r="I19" s="7">
        <v>0.6</v>
      </c>
      <c r="J19" s="7">
        <v>30</v>
      </c>
      <c r="K19" s="7">
        <v>0</v>
      </c>
      <c r="L19" s="7">
        <v>0</v>
      </c>
      <c r="M19" s="7">
        <v>0</v>
      </c>
      <c r="N19" s="7">
        <v>0</v>
      </c>
    </row>
    <row r="20" spans="2:14" ht="12.75">
      <c r="B20" s="6" t="s">
        <v>79</v>
      </c>
      <c r="C20" s="7">
        <v>20</v>
      </c>
      <c r="D20" s="7">
        <f>3.7*20/50</f>
        <v>1.48</v>
      </c>
      <c r="E20" s="7">
        <f>5.9*20/50</f>
        <v>2.36</v>
      </c>
      <c r="F20" s="7">
        <f>37.2*20/50</f>
        <v>14.88</v>
      </c>
      <c r="G20" s="7">
        <f>218*20/50</f>
        <v>87.2</v>
      </c>
      <c r="H20" s="7">
        <v>0</v>
      </c>
      <c r="I20" s="7">
        <f>0.04*20/50</f>
        <v>0.016</v>
      </c>
      <c r="J20" s="7">
        <v>0</v>
      </c>
      <c r="K20" s="7">
        <f>14.5*20/50</f>
        <v>5.8</v>
      </c>
      <c r="L20" s="7">
        <f>10*20/50</f>
        <v>4</v>
      </c>
      <c r="M20" s="7">
        <v>45</v>
      </c>
      <c r="N20" s="7">
        <v>1.05</v>
      </c>
    </row>
    <row r="21" spans="2:14" ht="12.75">
      <c r="B21" s="6" t="s">
        <v>62</v>
      </c>
      <c r="C21" s="7">
        <v>25</v>
      </c>
      <c r="D21" s="7">
        <v>1.9</v>
      </c>
      <c r="E21" s="7">
        <v>0.15</v>
      </c>
      <c r="F21" s="7">
        <v>13</v>
      </c>
      <c r="G21" s="7">
        <v>58</v>
      </c>
      <c r="H21" s="7">
        <v>0</v>
      </c>
      <c r="I21" s="7">
        <v>0</v>
      </c>
      <c r="J21" s="7">
        <v>0</v>
      </c>
      <c r="K21" s="7">
        <v>5</v>
      </c>
      <c r="L21" s="7">
        <v>3.5</v>
      </c>
      <c r="M21" s="7">
        <v>16.3</v>
      </c>
      <c r="N21" s="7">
        <v>0.2</v>
      </c>
    </row>
    <row r="22" spans="2:14" ht="12.7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12.75">
      <c r="B23" s="16" t="s">
        <v>31</v>
      </c>
      <c r="C23" s="7"/>
      <c r="D23" s="7">
        <f>SUM(D16:D18)</f>
        <v>29.849999999999998</v>
      </c>
      <c r="E23" s="7">
        <f>SUM(E16:E18)</f>
        <v>25.310000000000002</v>
      </c>
      <c r="F23" s="7">
        <f>SUM(F16:F18)</f>
        <v>38.85</v>
      </c>
      <c r="G23" s="7">
        <f>SUM(G16:G21)</f>
        <v>717.5699999999999</v>
      </c>
      <c r="H23" s="7">
        <f aca="true" t="shared" si="0" ref="H23:N23">SUM(H16:H18)</f>
        <v>0.11</v>
      </c>
      <c r="I23" s="7">
        <f t="shared" si="0"/>
        <v>0.29000000000000004</v>
      </c>
      <c r="J23" s="7">
        <f t="shared" si="0"/>
        <v>36.099999999999994</v>
      </c>
      <c r="K23" s="7">
        <f t="shared" si="0"/>
        <v>71.9</v>
      </c>
      <c r="L23" s="7">
        <f t="shared" si="0"/>
        <v>83.09</v>
      </c>
      <c r="M23" s="7">
        <f t="shared" si="0"/>
        <v>442.79999999999995</v>
      </c>
      <c r="N23" s="7">
        <f t="shared" si="0"/>
        <v>3.99</v>
      </c>
    </row>
    <row r="24" spans="2:14" ht="12.75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</sheetData>
  <sheetProtection/>
  <mergeCells count="13">
    <mergeCell ref="C14:C15"/>
    <mergeCell ref="G14:G15"/>
    <mergeCell ref="D7:J8"/>
    <mergeCell ref="K14:N14"/>
    <mergeCell ref="I4:M4"/>
    <mergeCell ref="K10:M10"/>
    <mergeCell ref="K11:M11"/>
    <mergeCell ref="K12:M12"/>
    <mergeCell ref="B3:G3"/>
    <mergeCell ref="B4:F4"/>
    <mergeCell ref="D14:F14"/>
    <mergeCell ref="H14:J14"/>
    <mergeCell ref="B14:B15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N25"/>
  <sheetViews>
    <sheetView zoomScalePageLayoutView="0" workbookViewId="0" topLeftCell="B1">
      <selection activeCell="F17" sqref="F17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20"/>
      <c r="J3" s="20"/>
      <c r="K3" s="20"/>
      <c r="L3" s="20"/>
      <c r="M3" s="20"/>
    </row>
    <row r="4" spans="2:7" ht="12.75">
      <c r="B4" s="20"/>
      <c r="C4" s="20"/>
      <c r="D4" s="20"/>
      <c r="E4" s="20"/>
      <c r="F4" s="20"/>
      <c r="G4" s="20"/>
    </row>
    <row r="5" spans="2:7" ht="12.75">
      <c r="B5" s="20"/>
      <c r="C5" s="20"/>
      <c r="D5" s="20"/>
      <c r="E5" s="20"/>
      <c r="F5" s="20"/>
      <c r="G5" s="20"/>
    </row>
    <row r="6" spans="2:13" ht="12.75">
      <c r="B6" s="20"/>
      <c r="C6" s="20"/>
      <c r="D6" s="20"/>
      <c r="E6" s="20"/>
      <c r="F6" s="20"/>
      <c r="I6" s="20"/>
      <c r="J6" s="20"/>
      <c r="K6" s="20"/>
      <c r="L6" s="20"/>
      <c r="M6" s="20"/>
    </row>
    <row r="9" spans="4:10" ht="12.75">
      <c r="D9" s="26" t="s">
        <v>32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2" spans="11:13" ht="12.75">
      <c r="K12" s="27" t="s">
        <v>63</v>
      </c>
      <c r="L12" s="27"/>
      <c r="M12" s="27"/>
    </row>
    <row r="13" spans="11:13" ht="12.75">
      <c r="K13" s="20" t="s">
        <v>11</v>
      </c>
      <c r="L13" s="20"/>
      <c r="M13" s="20"/>
    </row>
    <row r="14" spans="11:13" ht="12.75">
      <c r="K14" s="27" t="s">
        <v>77</v>
      </c>
      <c r="L14" s="27"/>
      <c r="M14" s="27"/>
    </row>
    <row r="16" spans="2:14" ht="25.5" customHeight="1">
      <c r="B16" s="24" t="s">
        <v>12</v>
      </c>
      <c r="C16" s="24" t="s">
        <v>13</v>
      </c>
      <c r="D16" s="21" t="s">
        <v>14</v>
      </c>
      <c r="E16" s="22"/>
      <c r="F16" s="23"/>
      <c r="G16" s="24" t="s">
        <v>15</v>
      </c>
      <c r="H16" s="21" t="s">
        <v>16</v>
      </c>
      <c r="I16" s="22"/>
      <c r="J16" s="23"/>
      <c r="K16" s="21" t="s">
        <v>17</v>
      </c>
      <c r="L16" s="22"/>
      <c r="M16" s="22"/>
      <c r="N16" s="23"/>
    </row>
    <row r="17" spans="2:14" ht="12.75">
      <c r="B17" s="25"/>
      <c r="C17" s="25"/>
      <c r="D17" s="3" t="s">
        <v>131</v>
      </c>
      <c r="E17" s="3" t="s">
        <v>132</v>
      </c>
      <c r="F17" s="3" t="s">
        <v>133</v>
      </c>
      <c r="G17" s="25"/>
      <c r="H17" s="3" t="s">
        <v>21</v>
      </c>
      <c r="I17" s="3" t="s">
        <v>22</v>
      </c>
      <c r="J17" s="3" t="s">
        <v>23</v>
      </c>
      <c r="K17" s="3" t="s">
        <v>24</v>
      </c>
      <c r="L17" s="3" t="s">
        <v>25</v>
      </c>
      <c r="M17" s="3" t="s">
        <v>26</v>
      </c>
      <c r="N17" s="3" t="s">
        <v>27</v>
      </c>
    </row>
    <row r="18" spans="2:14" ht="12.75">
      <c r="B18" s="4" t="s">
        <v>64</v>
      </c>
      <c r="C18" s="2">
        <v>100</v>
      </c>
      <c r="D18" s="5">
        <f>10.96*1.25</f>
        <v>13.700000000000001</v>
      </c>
      <c r="E18" s="5">
        <f>18.24*1.25</f>
        <v>22.799999999999997</v>
      </c>
      <c r="F18" s="5">
        <v>0</v>
      </c>
      <c r="G18" s="2">
        <f>208*1.25</f>
        <v>260</v>
      </c>
      <c r="H18" s="5">
        <v>0</v>
      </c>
      <c r="I18" s="5">
        <v>0</v>
      </c>
      <c r="J18" s="5">
        <v>0</v>
      </c>
      <c r="K18" s="5">
        <f>23.2*1.25</f>
        <v>29</v>
      </c>
      <c r="L18" s="5">
        <f>17.6*1.25</f>
        <v>22</v>
      </c>
      <c r="M18" s="5">
        <f>142.4*1.25</f>
        <v>178</v>
      </c>
      <c r="N18" s="5">
        <f>1.28*1.25</f>
        <v>1.6</v>
      </c>
    </row>
    <row r="19" spans="2:14" ht="12.75">
      <c r="B19" s="4" t="s">
        <v>35</v>
      </c>
      <c r="C19" s="2">
        <v>50</v>
      </c>
      <c r="D19" s="5">
        <v>0.4</v>
      </c>
      <c r="E19" s="5">
        <v>0.81</v>
      </c>
      <c r="F19" s="5">
        <v>3.55</v>
      </c>
      <c r="G19" s="2">
        <v>22.9</v>
      </c>
      <c r="H19" s="5">
        <v>0</v>
      </c>
      <c r="I19" s="5">
        <v>0</v>
      </c>
      <c r="J19" s="5">
        <v>1.6</v>
      </c>
      <c r="K19" s="5">
        <v>3.8</v>
      </c>
      <c r="L19" s="5">
        <v>2</v>
      </c>
      <c r="M19" s="5">
        <v>8.4</v>
      </c>
      <c r="N19" s="5">
        <v>0.2</v>
      </c>
    </row>
    <row r="20" spans="2:14" ht="12.75">
      <c r="B20" s="6" t="s">
        <v>65</v>
      </c>
      <c r="C20" s="7">
        <v>200</v>
      </c>
      <c r="D20" s="7">
        <v>22.05</v>
      </c>
      <c r="E20" s="7">
        <v>7.3</v>
      </c>
      <c r="F20" s="7">
        <v>55.19</v>
      </c>
      <c r="G20" s="7">
        <v>334.5</v>
      </c>
      <c r="H20" s="7">
        <v>0</v>
      </c>
      <c r="I20" s="7">
        <v>0.86</v>
      </c>
      <c r="J20" s="7">
        <v>0</v>
      </c>
      <c r="K20" s="7">
        <v>87.44</v>
      </c>
      <c r="L20" s="7">
        <f>64*1.33</f>
        <v>85.12</v>
      </c>
      <c r="M20" s="7">
        <v>217.5</v>
      </c>
      <c r="N20" s="7">
        <f>5*1.33</f>
        <v>6.65</v>
      </c>
    </row>
    <row r="21" spans="2:14" ht="12.75">
      <c r="B21" s="6" t="s">
        <v>36</v>
      </c>
      <c r="C21" s="7" t="s">
        <v>37</v>
      </c>
      <c r="D21" s="7">
        <v>0</v>
      </c>
      <c r="E21" s="7">
        <v>0</v>
      </c>
      <c r="F21" s="7">
        <v>14.35</v>
      </c>
      <c r="G21" s="7">
        <v>58.5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2:14" ht="25.5">
      <c r="B22" s="6" t="s">
        <v>30</v>
      </c>
      <c r="C22" s="7">
        <v>25</v>
      </c>
      <c r="D22" s="7">
        <v>2.02</v>
      </c>
      <c r="E22" s="7">
        <v>0.37</v>
      </c>
      <c r="F22" s="7">
        <v>13.2</v>
      </c>
      <c r="G22" s="7">
        <v>64.5</v>
      </c>
      <c r="H22" s="7">
        <v>0</v>
      </c>
      <c r="I22" s="7">
        <v>0.11</v>
      </c>
      <c r="J22" s="7">
        <v>0</v>
      </c>
      <c r="K22" s="7">
        <v>0</v>
      </c>
      <c r="L22" s="7">
        <v>0</v>
      </c>
      <c r="M22" s="7">
        <v>0</v>
      </c>
      <c r="N22" s="7">
        <v>0.5</v>
      </c>
    </row>
    <row r="23" spans="2:14" ht="12.7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12.75">
      <c r="B24" s="16" t="s">
        <v>31</v>
      </c>
      <c r="C24" s="7"/>
      <c r="D24" s="7">
        <f>SUM(D18:D20)</f>
        <v>36.150000000000006</v>
      </c>
      <c r="E24" s="7">
        <f>SUM(E18:E20)</f>
        <v>30.909999999999997</v>
      </c>
      <c r="F24" s="7">
        <f>SUM(F18:F20)</f>
        <v>58.739999999999995</v>
      </c>
      <c r="G24" s="7">
        <f>SUM(G18:G22)</f>
        <v>740.4</v>
      </c>
      <c r="H24" s="7">
        <f aca="true" t="shared" si="0" ref="H24:N24">SUM(H18:H20)</f>
        <v>0</v>
      </c>
      <c r="I24" s="7">
        <f t="shared" si="0"/>
        <v>0.86</v>
      </c>
      <c r="J24" s="7">
        <f t="shared" si="0"/>
        <v>1.6</v>
      </c>
      <c r="K24" s="7">
        <f t="shared" si="0"/>
        <v>120.24</v>
      </c>
      <c r="L24" s="7">
        <f t="shared" si="0"/>
        <v>109.12</v>
      </c>
      <c r="M24" s="7">
        <f t="shared" si="0"/>
        <v>403.9</v>
      </c>
      <c r="N24" s="7">
        <f t="shared" si="0"/>
        <v>8.450000000000001</v>
      </c>
    </row>
    <row r="25" spans="2:14" ht="12.7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</sheetData>
  <sheetProtection/>
  <mergeCells count="16">
    <mergeCell ref="K16:N16"/>
    <mergeCell ref="I3:M3"/>
    <mergeCell ref="I6:M6"/>
    <mergeCell ref="K12:M12"/>
    <mergeCell ref="K13:M13"/>
    <mergeCell ref="K14:M14"/>
    <mergeCell ref="H16:J16"/>
    <mergeCell ref="B16:B17"/>
    <mergeCell ref="C16:C17"/>
    <mergeCell ref="G16:G17"/>
    <mergeCell ref="B3:G3"/>
    <mergeCell ref="B4:G4"/>
    <mergeCell ref="B5:G5"/>
    <mergeCell ref="B6:F6"/>
    <mergeCell ref="D9:J10"/>
    <mergeCell ref="D16:F16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N24"/>
  <sheetViews>
    <sheetView zoomScalePageLayoutView="0" workbookViewId="0" topLeftCell="B1">
      <selection activeCell="F16" sqref="F16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7" ht="12.75">
      <c r="B3" s="20"/>
      <c r="C3" s="20"/>
      <c r="D3" s="20"/>
      <c r="E3" s="20"/>
      <c r="F3" s="20"/>
      <c r="G3" s="20"/>
    </row>
    <row r="4" spans="2:7" ht="12.75">
      <c r="B4" s="20"/>
      <c r="C4" s="20"/>
      <c r="D4" s="20"/>
      <c r="E4" s="20"/>
      <c r="F4" s="20"/>
      <c r="G4" s="20"/>
    </row>
    <row r="5" spans="2:13" ht="12.75">
      <c r="B5" s="20"/>
      <c r="C5" s="20"/>
      <c r="D5" s="20"/>
      <c r="E5" s="20"/>
      <c r="F5" s="20"/>
      <c r="I5" s="20"/>
      <c r="J5" s="20"/>
      <c r="K5" s="20"/>
      <c r="L5" s="20"/>
      <c r="M5" s="20"/>
    </row>
    <row r="8" spans="4:10" ht="12.75">
      <c r="D8" s="26" t="s">
        <v>32</v>
      </c>
      <c r="E8" s="26"/>
      <c r="F8" s="26"/>
      <c r="G8" s="26"/>
      <c r="H8" s="26"/>
      <c r="I8" s="26"/>
      <c r="J8" s="26"/>
    </row>
    <row r="9" spans="4:10" ht="12.75">
      <c r="D9" s="26"/>
      <c r="E9" s="26"/>
      <c r="F9" s="26"/>
      <c r="G9" s="26"/>
      <c r="H9" s="26"/>
      <c r="I9" s="26"/>
      <c r="J9" s="26"/>
    </row>
    <row r="11" spans="11:13" ht="12.75">
      <c r="K11" s="27" t="s">
        <v>66</v>
      </c>
      <c r="L11" s="27"/>
      <c r="M11" s="27"/>
    </row>
    <row r="12" spans="11:13" ht="12.75">
      <c r="K12" s="20" t="s">
        <v>11</v>
      </c>
      <c r="L12" s="20"/>
      <c r="M12" s="20"/>
    </row>
    <row r="13" spans="11:13" ht="12.75">
      <c r="K13" s="27" t="s">
        <v>77</v>
      </c>
      <c r="L13" s="27"/>
      <c r="M13" s="27"/>
    </row>
    <row r="15" spans="2:14" ht="25.5" customHeight="1">
      <c r="B15" s="24" t="s">
        <v>12</v>
      </c>
      <c r="C15" s="24" t="s">
        <v>13</v>
      </c>
      <c r="D15" s="21" t="s">
        <v>14</v>
      </c>
      <c r="E15" s="22"/>
      <c r="F15" s="23"/>
      <c r="G15" s="24" t="s">
        <v>15</v>
      </c>
      <c r="H15" s="21" t="s">
        <v>16</v>
      </c>
      <c r="I15" s="22"/>
      <c r="J15" s="23"/>
      <c r="K15" s="21" t="s">
        <v>17</v>
      </c>
      <c r="L15" s="22"/>
      <c r="M15" s="22"/>
      <c r="N15" s="23"/>
    </row>
    <row r="16" spans="2:14" ht="12.75">
      <c r="B16" s="25"/>
      <c r="C16" s="25"/>
      <c r="D16" s="3" t="s">
        <v>131</v>
      </c>
      <c r="E16" s="3" t="s">
        <v>132</v>
      </c>
      <c r="F16" s="3" t="s">
        <v>133</v>
      </c>
      <c r="G16" s="25"/>
      <c r="H16" s="3" t="s">
        <v>21</v>
      </c>
      <c r="I16" s="3" t="s">
        <v>22</v>
      </c>
      <c r="J16" s="3" t="s">
        <v>23</v>
      </c>
      <c r="K16" s="3" t="s">
        <v>24</v>
      </c>
      <c r="L16" s="3" t="s">
        <v>25</v>
      </c>
      <c r="M16" s="3" t="s">
        <v>26</v>
      </c>
      <c r="N16" s="3" t="s">
        <v>27</v>
      </c>
    </row>
    <row r="17" spans="2:14" ht="25.5">
      <c r="B17" s="4" t="s">
        <v>67</v>
      </c>
      <c r="C17" s="2" t="s">
        <v>80</v>
      </c>
      <c r="D17" s="5">
        <f>27.45*80/75</f>
        <v>29.28</v>
      </c>
      <c r="E17" s="5">
        <f>19.35*80/75</f>
        <v>20.64</v>
      </c>
      <c r="F17" s="5">
        <f>11.4*80/75</f>
        <v>12.16</v>
      </c>
      <c r="G17" s="2">
        <f>207.6*80/75</f>
        <v>221.44</v>
      </c>
      <c r="H17" s="5">
        <f>4.05*80/75</f>
        <v>4.32</v>
      </c>
      <c r="I17" s="5">
        <f>0.3*80/75</f>
        <v>0.32</v>
      </c>
      <c r="J17" s="5">
        <f>38.7*80/75</f>
        <v>41.28</v>
      </c>
      <c r="K17" s="5">
        <f>14.7*80/75</f>
        <v>15.68</v>
      </c>
      <c r="L17" s="5">
        <f>24.3*80/75</f>
        <v>25.92</v>
      </c>
      <c r="M17" s="5">
        <f>383.85*80/75</f>
        <v>409.44</v>
      </c>
      <c r="N17" s="5">
        <f>10.05*80/75</f>
        <v>10.72</v>
      </c>
    </row>
    <row r="18" spans="2:14" ht="12.75">
      <c r="B18" s="4" t="s">
        <v>60</v>
      </c>
      <c r="C18" s="7">
        <v>200</v>
      </c>
      <c r="D18" s="7">
        <v>4.25</v>
      </c>
      <c r="E18" s="7">
        <v>6.9</v>
      </c>
      <c r="F18" s="7">
        <v>35.1</v>
      </c>
      <c r="G18" s="7">
        <v>211.07</v>
      </c>
      <c r="H18" s="7">
        <v>0.05</v>
      </c>
      <c r="I18" s="7">
        <v>0.19</v>
      </c>
      <c r="J18" s="7">
        <v>34.3</v>
      </c>
      <c r="K18" s="7">
        <v>53.7</v>
      </c>
      <c r="L18" s="7">
        <v>44.69</v>
      </c>
      <c r="M18" s="7">
        <v>130.2</v>
      </c>
      <c r="N18" s="7">
        <v>1.59</v>
      </c>
    </row>
    <row r="19" spans="2:14" ht="12.75">
      <c r="B19" s="6" t="s">
        <v>45</v>
      </c>
      <c r="C19" s="7">
        <v>200</v>
      </c>
      <c r="D19" s="7">
        <v>3.7</v>
      </c>
      <c r="E19" s="7">
        <v>3.9</v>
      </c>
      <c r="F19" s="7">
        <v>24.8</v>
      </c>
      <c r="G19" s="7">
        <v>147.7</v>
      </c>
      <c r="H19" s="7">
        <v>0.04</v>
      </c>
      <c r="I19" s="7">
        <v>0.02</v>
      </c>
      <c r="J19" s="7">
        <v>1</v>
      </c>
      <c r="K19" s="7">
        <v>120.7</v>
      </c>
      <c r="L19" s="7">
        <v>17.6</v>
      </c>
      <c r="M19" s="7">
        <v>0.6</v>
      </c>
      <c r="N19" s="7">
        <v>125.6</v>
      </c>
    </row>
    <row r="20" spans="2:14" ht="25.5">
      <c r="B20" s="6" t="s">
        <v>30</v>
      </c>
      <c r="C20" s="7">
        <v>25</v>
      </c>
      <c r="D20" s="7">
        <v>1.9</v>
      </c>
      <c r="E20" s="7">
        <v>0.15</v>
      </c>
      <c r="F20" s="7">
        <v>13</v>
      </c>
      <c r="G20" s="7">
        <v>58</v>
      </c>
      <c r="H20" s="7">
        <v>0</v>
      </c>
      <c r="I20" s="7">
        <v>0</v>
      </c>
      <c r="J20" s="7">
        <v>0</v>
      </c>
      <c r="K20" s="7">
        <v>5</v>
      </c>
      <c r="L20" s="7">
        <v>3.5</v>
      </c>
      <c r="M20" s="7">
        <v>16.3</v>
      </c>
      <c r="N20" s="7">
        <v>0.2</v>
      </c>
    </row>
    <row r="21" spans="2:14" ht="12.75">
      <c r="B21" s="6" t="s">
        <v>81</v>
      </c>
      <c r="C21" s="7">
        <v>20</v>
      </c>
      <c r="D21" s="7">
        <v>0.96</v>
      </c>
      <c r="E21" s="7">
        <v>6.94</v>
      </c>
      <c r="F21" s="7">
        <v>11.52</v>
      </c>
      <c r="G21" s="7">
        <v>109.8</v>
      </c>
      <c r="H21" s="7">
        <v>0</v>
      </c>
      <c r="I21" s="7">
        <v>0</v>
      </c>
      <c r="J21" s="7">
        <v>0</v>
      </c>
      <c r="K21" s="7">
        <v>0.6</v>
      </c>
      <c r="L21" s="7">
        <v>1.4</v>
      </c>
      <c r="M21" s="7">
        <v>11.4</v>
      </c>
      <c r="N21" s="7">
        <v>0.2</v>
      </c>
    </row>
    <row r="22" spans="2:14" ht="12.7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12.75">
      <c r="B23" s="16" t="s">
        <v>31</v>
      </c>
      <c r="C23" s="7"/>
      <c r="D23" s="7">
        <f>SUM(D17:D19)</f>
        <v>37.230000000000004</v>
      </c>
      <c r="E23" s="7">
        <f>SUM(E17:E19)</f>
        <v>31.439999999999998</v>
      </c>
      <c r="F23" s="7">
        <f>SUM(F17:F19)</f>
        <v>72.06</v>
      </c>
      <c r="G23" s="7">
        <f>SUM(G17:G21)</f>
        <v>748.01</v>
      </c>
      <c r="H23" s="7">
        <f aca="true" t="shared" si="0" ref="H23:N23">SUM(H17:H19)</f>
        <v>4.41</v>
      </c>
      <c r="I23" s="7">
        <f t="shared" si="0"/>
        <v>0.53</v>
      </c>
      <c r="J23" s="7">
        <f t="shared" si="0"/>
        <v>76.58</v>
      </c>
      <c r="K23" s="7">
        <f t="shared" si="0"/>
        <v>190.07999999999998</v>
      </c>
      <c r="L23" s="7">
        <f t="shared" si="0"/>
        <v>88.21000000000001</v>
      </c>
      <c r="M23" s="7">
        <f t="shared" si="0"/>
        <v>540.24</v>
      </c>
      <c r="N23" s="7">
        <f t="shared" si="0"/>
        <v>137.91</v>
      </c>
    </row>
    <row r="24" spans="2:14" ht="12.75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</sheetData>
  <sheetProtection/>
  <mergeCells count="14">
    <mergeCell ref="B15:B16"/>
    <mergeCell ref="C15:C16"/>
    <mergeCell ref="G15:G16"/>
    <mergeCell ref="B3:G3"/>
    <mergeCell ref="B4:G4"/>
    <mergeCell ref="B5:F5"/>
    <mergeCell ref="D15:F15"/>
    <mergeCell ref="D8:J9"/>
    <mergeCell ref="K15:N15"/>
    <mergeCell ref="I5:M5"/>
    <mergeCell ref="K11:M11"/>
    <mergeCell ref="K12:M12"/>
    <mergeCell ref="K13:M13"/>
    <mergeCell ref="H15:J15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3:N23"/>
  <sheetViews>
    <sheetView zoomScalePageLayoutView="0" workbookViewId="0" topLeftCell="B1">
      <selection activeCell="K14" sqref="K14:M14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20"/>
      <c r="J3" s="20"/>
      <c r="K3" s="20"/>
      <c r="L3" s="20"/>
      <c r="M3" s="20"/>
    </row>
    <row r="4" spans="2:7" ht="12.75">
      <c r="B4" s="20"/>
      <c r="C4" s="20"/>
      <c r="D4" s="20"/>
      <c r="E4" s="20"/>
      <c r="F4" s="20"/>
      <c r="G4" s="20"/>
    </row>
    <row r="5" spans="2:7" ht="12.75">
      <c r="B5" s="20"/>
      <c r="C5" s="20"/>
      <c r="D5" s="20"/>
      <c r="E5" s="20"/>
      <c r="F5" s="20"/>
      <c r="G5" s="20"/>
    </row>
    <row r="6" spans="2:13" ht="12.75">
      <c r="B6" s="20"/>
      <c r="C6" s="20"/>
      <c r="D6" s="20"/>
      <c r="E6" s="20"/>
      <c r="F6" s="20"/>
      <c r="I6" s="20"/>
      <c r="J6" s="20"/>
      <c r="K6" s="20"/>
      <c r="L6" s="20"/>
      <c r="M6" s="20"/>
    </row>
    <row r="9" spans="4:10" ht="12.75">
      <c r="D9" s="26" t="s">
        <v>32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2" spans="11:13" ht="12.75">
      <c r="K12" s="27" t="s">
        <v>38</v>
      </c>
      <c r="L12" s="27"/>
      <c r="M12" s="27"/>
    </row>
    <row r="13" spans="11:13" ht="12.75">
      <c r="K13" s="20" t="s">
        <v>11</v>
      </c>
      <c r="L13" s="20"/>
      <c r="M13" s="20"/>
    </row>
    <row r="14" spans="11:13" ht="12.75">
      <c r="K14" s="27" t="s">
        <v>33</v>
      </c>
      <c r="L14" s="27"/>
      <c r="M14" s="27"/>
    </row>
    <row r="16" spans="2:14" ht="25.5" customHeight="1">
      <c r="B16" s="24" t="s">
        <v>12</v>
      </c>
      <c r="C16" s="24" t="s">
        <v>13</v>
      </c>
      <c r="D16" s="21" t="s">
        <v>14</v>
      </c>
      <c r="E16" s="22"/>
      <c r="F16" s="23"/>
      <c r="G16" s="24" t="s">
        <v>15</v>
      </c>
      <c r="H16" s="21" t="s">
        <v>16</v>
      </c>
      <c r="I16" s="22"/>
      <c r="J16" s="23"/>
      <c r="K16" s="21" t="s">
        <v>17</v>
      </c>
      <c r="L16" s="22"/>
      <c r="M16" s="22"/>
      <c r="N16" s="23"/>
    </row>
    <row r="17" spans="2:14" ht="12.75">
      <c r="B17" s="25"/>
      <c r="C17" s="25"/>
      <c r="D17" s="3" t="s">
        <v>131</v>
      </c>
      <c r="E17" s="3" t="s">
        <v>132</v>
      </c>
      <c r="F17" s="3" t="s">
        <v>133</v>
      </c>
      <c r="G17" s="25"/>
      <c r="H17" s="3" t="s">
        <v>21</v>
      </c>
      <c r="I17" s="3" t="s">
        <v>22</v>
      </c>
      <c r="J17" s="3" t="s">
        <v>23</v>
      </c>
      <c r="K17" s="3" t="s">
        <v>24</v>
      </c>
      <c r="L17" s="3" t="s">
        <v>25</v>
      </c>
      <c r="M17" s="3" t="s">
        <v>26</v>
      </c>
      <c r="N17" s="3" t="s">
        <v>27</v>
      </c>
    </row>
    <row r="18" spans="2:14" ht="12.75">
      <c r="B18" s="4" t="s">
        <v>39</v>
      </c>
      <c r="C18" s="2">
        <v>250</v>
      </c>
      <c r="D18" s="5">
        <v>20.6</v>
      </c>
      <c r="E18" s="5">
        <v>18.2</v>
      </c>
      <c r="F18" s="5">
        <v>56.3</v>
      </c>
      <c r="G18" s="2">
        <v>457.9</v>
      </c>
      <c r="H18" s="5">
        <v>0.3</v>
      </c>
      <c r="I18" s="5">
        <v>0.1</v>
      </c>
      <c r="J18" s="5">
        <v>5.6</v>
      </c>
      <c r="K18" s="5">
        <v>37.1</v>
      </c>
      <c r="L18" s="5">
        <v>38</v>
      </c>
      <c r="M18" s="5">
        <v>246.8</v>
      </c>
      <c r="N18" s="5">
        <v>3.8</v>
      </c>
    </row>
    <row r="19" spans="2:14" ht="12.75">
      <c r="B19" s="4" t="s">
        <v>40</v>
      </c>
      <c r="C19" s="2">
        <v>200</v>
      </c>
      <c r="D19" s="5">
        <v>2.6</v>
      </c>
      <c r="E19" s="5">
        <v>1.9</v>
      </c>
      <c r="F19" s="5">
        <v>22.9</v>
      </c>
      <c r="G19" s="2">
        <v>69</v>
      </c>
      <c r="H19" s="5">
        <v>0.02</v>
      </c>
      <c r="I19" s="5">
        <v>0.01</v>
      </c>
      <c r="J19" s="5">
        <v>0.44</v>
      </c>
      <c r="K19" s="5">
        <v>13.4</v>
      </c>
      <c r="L19" s="5">
        <v>8.9</v>
      </c>
      <c r="M19" s="5">
        <v>14.8</v>
      </c>
      <c r="N19" s="5">
        <v>0.11</v>
      </c>
    </row>
    <row r="20" spans="2:14" ht="25.5">
      <c r="B20" s="6" t="s">
        <v>30</v>
      </c>
      <c r="C20" s="7">
        <v>25</v>
      </c>
      <c r="D20" s="7">
        <v>2.02</v>
      </c>
      <c r="E20" s="7">
        <v>0.37</v>
      </c>
      <c r="F20" s="7">
        <v>13.2</v>
      </c>
      <c r="G20" s="7">
        <v>64.5</v>
      </c>
      <c r="H20" s="7">
        <v>0</v>
      </c>
      <c r="I20" s="7">
        <v>0.11</v>
      </c>
      <c r="J20" s="7">
        <v>0</v>
      </c>
      <c r="K20" s="7">
        <v>0</v>
      </c>
      <c r="L20" s="7">
        <v>0</v>
      </c>
      <c r="M20" s="7">
        <v>0</v>
      </c>
      <c r="N20" s="7">
        <v>0.5</v>
      </c>
    </row>
    <row r="21" spans="2:14" ht="12.7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12.75">
      <c r="B22" s="16" t="s">
        <v>31</v>
      </c>
      <c r="C22" s="7"/>
      <c r="D22" s="7">
        <f aca="true" t="shared" si="0" ref="D22:N22">SUM(D18:D20)</f>
        <v>25.220000000000002</v>
      </c>
      <c r="E22" s="7">
        <f t="shared" si="0"/>
        <v>20.47</v>
      </c>
      <c r="F22" s="7">
        <f t="shared" si="0"/>
        <v>92.39999999999999</v>
      </c>
      <c r="G22" s="7">
        <f t="shared" si="0"/>
        <v>591.4</v>
      </c>
      <c r="H22" s="7">
        <f t="shared" si="0"/>
        <v>0.32</v>
      </c>
      <c r="I22" s="7">
        <f t="shared" si="0"/>
        <v>0.22</v>
      </c>
      <c r="J22" s="7">
        <f t="shared" si="0"/>
        <v>6.04</v>
      </c>
      <c r="K22" s="7">
        <f t="shared" si="0"/>
        <v>50.5</v>
      </c>
      <c r="L22" s="7">
        <f t="shared" si="0"/>
        <v>46.9</v>
      </c>
      <c r="M22" s="7">
        <f t="shared" si="0"/>
        <v>261.6</v>
      </c>
      <c r="N22" s="7">
        <f t="shared" si="0"/>
        <v>4.41</v>
      </c>
    </row>
    <row r="23" spans="2:14" ht="12.7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</sheetData>
  <sheetProtection/>
  <mergeCells count="16">
    <mergeCell ref="B16:B17"/>
    <mergeCell ref="C16:C17"/>
    <mergeCell ref="G16:G17"/>
    <mergeCell ref="B3:G3"/>
    <mergeCell ref="B4:G4"/>
    <mergeCell ref="B5:G5"/>
    <mergeCell ref="B6:F6"/>
    <mergeCell ref="D9:J10"/>
    <mergeCell ref="D16:F16"/>
    <mergeCell ref="K16:N16"/>
    <mergeCell ref="I3:M3"/>
    <mergeCell ref="I6:M6"/>
    <mergeCell ref="K12:M12"/>
    <mergeCell ref="K13:M13"/>
    <mergeCell ref="K14:M14"/>
    <mergeCell ref="H16:J16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N24"/>
  <sheetViews>
    <sheetView zoomScalePageLayoutView="0" workbookViewId="0" topLeftCell="B1">
      <selection activeCell="F16" sqref="F16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7" ht="12.75">
      <c r="B3" s="20"/>
      <c r="C3" s="20"/>
      <c r="D3" s="20"/>
      <c r="E3" s="20"/>
      <c r="F3" s="20"/>
      <c r="G3" s="20"/>
    </row>
    <row r="4" spans="2:7" ht="12.75">
      <c r="B4" s="20"/>
      <c r="C4" s="20"/>
      <c r="D4" s="20"/>
      <c r="E4" s="20"/>
      <c r="F4" s="20"/>
      <c r="G4" s="20"/>
    </row>
    <row r="5" spans="2:13" ht="12.75">
      <c r="B5" s="20"/>
      <c r="C5" s="20"/>
      <c r="D5" s="20"/>
      <c r="E5" s="20"/>
      <c r="F5" s="20"/>
      <c r="I5" s="20"/>
      <c r="J5" s="20"/>
      <c r="K5" s="20"/>
      <c r="L5" s="20"/>
      <c r="M5" s="20"/>
    </row>
    <row r="8" spans="4:10" ht="12.75">
      <c r="D8" s="26" t="s">
        <v>32</v>
      </c>
      <c r="E8" s="26"/>
      <c r="F8" s="26"/>
      <c r="G8" s="26"/>
      <c r="H8" s="26"/>
      <c r="I8" s="26"/>
      <c r="J8" s="26"/>
    </row>
    <row r="9" spans="4:10" ht="12.75">
      <c r="D9" s="26"/>
      <c r="E9" s="26"/>
      <c r="F9" s="26"/>
      <c r="G9" s="26"/>
      <c r="H9" s="26"/>
      <c r="I9" s="26"/>
      <c r="J9" s="26"/>
    </row>
    <row r="11" spans="11:13" ht="12.75">
      <c r="K11" s="27" t="s">
        <v>68</v>
      </c>
      <c r="L11" s="27"/>
      <c r="M11" s="27"/>
    </row>
    <row r="12" spans="11:13" ht="12.75">
      <c r="K12" s="20" t="s">
        <v>11</v>
      </c>
      <c r="L12" s="20"/>
      <c r="M12" s="20"/>
    </row>
    <row r="13" spans="11:13" ht="12.75">
      <c r="K13" s="27" t="s">
        <v>77</v>
      </c>
      <c r="L13" s="27"/>
      <c r="M13" s="27"/>
    </row>
    <row r="15" spans="2:14" ht="25.5" customHeight="1">
      <c r="B15" s="24" t="s">
        <v>12</v>
      </c>
      <c r="C15" s="24" t="s">
        <v>13</v>
      </c>
      <c r="D15" s="21" t="s">
        <v>14</v>
      </c>
      <c r="E15" s="22"/>
      <c r="F15" s="23"/>
      <c r="G15" s="24" t="s">
        <v>15</v>
      </c>
      <c r="H15" s="21" t="s">
        <v>16</v>
      </c>
      <c r="I15" s="22"/>
      <c r="J15" s="23"/>
      <c r="K15" s="21" t="s">
        <v>17</v>
      </c>
      <c r="L15" s="22"/>
      <c r="M15" s="22"/>
      <c r="N15" s="23"/>
    </row>
    <row r="16" spans="2:14" ht="12.75">
      <c r="B16" s="25"/>
      <c r="C16" s="25"/>
      <c r="D16" s="3" t="s">
        <v>131</v>
      </c>
      <c r="E16" s="3" t="s">
        <v>132</v>
      </c>
      <c r="F16" s="3" t="s">
        <v>133</v>
      </c>
      <c r="G16" s="25"/>
      <c r="H16" s="3" t="s">
        <v>21</v>
      </c>
      <c r="I16" s="3" t="s">
        <v>22</v>
      </c>
      <c r="J16" s="3" t="s">
        <v>23</v>
      </c>
      <c r="K16" s="3" t="s">
        <v>24</v>
      </c>
      <c r="L16" s="3" t="s">
        <v>25</v>
      </c>
      <c r="M16" s="3" t="s">
        <v>26</v>
      </c>
      <c r="N16" s="3" t="s">
        <v>27</v>
      </c>
    </row>
    <row r="17" spans="2:14" ht="12.75">
      <c r="B17" s="4" t="s">
        <v>69</v>
      </c>
      <c r="C17" s="2">
        <v>100</v>
      </c>
      <c r="D17" s="8">
        <v>15.9</v>
      </c>
      <c r="E17" s="8">
        <f>11.98*1.33</f>
        <v>15.9334</v>
      </c>
      <c r="F17" s="8">
        <f>10.55*1.33</f>
        <v>14.031500000000001</v>
      </c>
      <c r="G17" s="9">
        <f>196.05*1.33</f>
        <v>260.7465</v>
      </c>
      <c r="H17" s="8">
        <v>0</v>
      </c>
      <c r="I17" s="8">
        <f>0.1*1.33</f>
        <v>0.133</v>
      </c>
      <c r="J17" s="8">
        <v>0</v>
      </c>
      <c r="K17" s="8">
        <f>29.3*1.33</f>
        <v>38.969</v>
      </c>
      <c r="L17" s="8">
        <f>16.25*1.33</f>
        <v>21.6125</v>
      </c>
      <c r="M17" s="8">
        <f>89.8*1.33</f>
        <v>119.434</v>
      </c>
      <c r="N17" s="8">
        <f>1.09*1.33</f>
        <v>1.4497000000000002</v>
      </c>
    </row>
    <row r="18" spans="2:14" ht="12.75">
      <c r="B18" s="4" t="s">
        <v>35</v>
      </c>
      <c r="C18" s="2">
        <v>50</v>
      </c>
      <c r="D18" s="8">
        <v>0.4</v>
      </c>
      <c r="E18" s="8">
        <v>0.81</v>
      </c>
      <c r="F18" s="8">
        <v>3.55</v>
      </c>
      <c r="G18" s="9">
        <v>22.9</v>
      </c>
      <c r="H18" s="8">
        <v>0</v>
      </c>
      <c r="I18" s="8">
        <v>0</v>
      </c>
      <c r="J18" s="8">
        <v>1.6</v>
      </c>
      <c r="K18" s="8">
        <v>3.8</v>
      </c>
      <c r="L18" s="8">
        <v>2</v>
      </c>
      <c r="M18" s="8">
        <v>8.4</v>
      </c>
      <c r="N18" s="8">
        <v>0.2</v>
      </c>
    </row>
    <row r="19" spans="2:14" ht="12.75">
      <c r="B19" s="6" t="s">
        <v>70</v>
      </c>
      <c r="C19" s="2">
        <v>200</v>
      </c>
      <c r="D19" s="8">
        <v>6.26</v>
      </c>
      <c r="E19" s="8">
        <v>6.53</v>
      </c>
      <c r="F19" s="8">
        <f>36.9*200/150</f>
        <v>49.2</v>
      </c>
      <c r="G19" s="9">
        <v>268.13</v>
      </c>
      <c r="H19" s="8">
        <v>0.02</v>
      </c>
      <c r="I19" s="8">
        <v>0.06</v>
      </c>
      <c r="J19" s="8">
        <v>0</v>
      </c>
      <c r="K19" s="8">
        <f>20.1*200/150</f>
        <v>26.800000000000004</v>
      </c>
      <c r="L19" s="8">
        <v>12.26</v>
      </c>
      <c r="M19" s="8">
        <v>216.6</v>
      </c>
      <c r="N19" s="8">
        <f>1.65*200/150</f>
        <v>2.2</v>
      </c>
    </row>
    <row r="20" spans="2:14" ht="12.75">
      <c r="B20" s="6" t="s">
        <v>71</v>
      </c>
      <c r="C20" s="7">
        <v>200</v>
      </c>
      <c r="D20" s="10">
        <v>1</v>
      </c>
      <c r="E20" s="10">
        <v>0</v>
      </c>
      <c r="F20" s="10">
        <v>18.2</v>
      </c>
      <c r="G20" s="10">
        <v>76</v>
      </c>
      <c r="H20" s="10">
        <v>0</v>
      </c>
      <c r="I20" s="10">
        <v>0.02</v>
      </c>
      <c r="J20" s="10">
        <v>4</v>
      </c>
      <c r="K20" s="10">
        <v>14</v>
      </c>
      <c r="L20" s="10">
        <v>8</v>
      </c>
      <c r="M20" s="10">
        <v>14</v>
      </c>
      <c r="N20" s="10">
        <v>0.6</v>
      </c>
    </row>
    <row r="21" spans="2:14" ht="25.5">
      <c r="B21" s="6" t="s">
        <v>30</v>
      </c>
      <c r="C21" s="7">
        <v>25</v>
      </c>
      <c r="D21" s="10">
        <v>2.02</v>
      </c>
      <c r="E21" s="10">
        <v>0.37</v>
      </c>
      <c r="F21" s="10">
        <v>13.2</v>
      </c>
      <c r="G21" s="10">
        <v>64.5</v>
      </c>
      <c r="H21" s="10">
        <v>0</v>
      </c>
      <c r="I21" s="10">
        <v>0.11</v>
      </c>
      <c r="J21" s="10">
        <v>0</v>
      </c>
      <c r="K21" s="10">
        <v>0</v>
      </c>
      <c r="L21" s="10">
        <v>0</v>
      </c>
      <c r="M21" s="10">
        <v>0</v>
      </c>
      <c r="N21" s="10">
        <v>0.5</v>
      </c>
    </row>
    <row r="22" spans="2:14" ht="12.75">
      <c r="B22" s="6"/>
      <c r="C22" s="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ht="12.75">
      <c r="B23" s="16" t="s">
        <v>31</v>
      </c>
      <c r="C23" s="7"/>
      <c r="D23" s="10">
        <f>SUM(D17:D21)</f>
        <v>25.580000000000002</v>
      </c>
      <c r="E23" s="10">
        <f>SUM(E17:E21)</f>
        <v>23.643400000000003</v>
      </c>
      <c r="F23" s="10">
        <f>SUM(F17:F19)</f>
        <v>66.78150000000001</v>
      </c>
      <c r="G23" s="10">
        <f>SUM(G17:G21)</f>
        <v>692.2764999999999</v>
      </c>
      <c r="H23" s="10">
        <f>SUM(H17:H21)</f>
        <v>0.02</v>
      </c>
      <c r="I23" s="10">
        <f>SUM(I17:I21)</f>
        <v>0.323</v>
      </c>
      <c r="J23" s="10">
        <f>SUM(J17:J21)</f>
        <v>5.6</v>
      </c>
      <c r="K23" s="10">
        <f>SUM(K17:K19)</f>
        <v>69.569</v>
      </c>
      <c r="L23" s="10">
        <f>SUM(L17:L21)</f>
        <v>43.8725</v>
      </c>
      <c r="M23" s="10">
        <f>SUM(M17:M21)</f>
        <v>358.43399999999997</v>
      </c>
      <c r="N23" s="10">
        <f>SUM(N17:N19)</f>
        <v>3.8497000000000003</v>
      </c>
    </row>
    <row r="24" spans="2:14" ht="12.75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</sheetData>
  <sheetProtection/>
  <mergeCells count="14">
    <mergeCell ref="K15:N15"/>
    <mergeCell ref="I5:M5"/>
    <mergeCell ref="K11:M11"/>
    <mergeCell ref="K12:M12"/>
    <mergeCell ref="K13:M13"/>
    <mergeCell ref="H15:J15"/>
    <mergeCell ref="B15:B16"/>
    <mergeCell ref="C15:C16"/>
    <mergeCell ref="G15:G16"/>
    <mergeCell ref="B3:G3"/>
    <mergeCell ref="B4:G4"/>
    <mergeCell ref="B5:F5"/>
    <mergeCell ref="D15:F15"/>
    <mergeCell ref="D8:J9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N39"/>
  <sheetViews>
    <sheetView zoomScalePageLayoutView="0" workbookViewId="0" topLeftCell="B1">
      <selection activeCell="F21" sqref="F21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7" ht="12.75">
      <c r="B3" s="19" t="s">
        <v>0</v>
      </c>
      <c r="C3" s="19"/>
      <c r="D3" s="19"/>
      <c r="E3" s="19"/>
      <c r="F3" s="19"/>
      <c r="G3" s="19"/>
    </row>
    <row r="4" spans="2:14" ht="12.75">
      <c r="B4" s="19"/>
      <c r="C4" s="19"/>
      <c r="D4" s="19"/>
      <c r="E4" s="19"/>
      <c r="F4" s="19"/>
      <c r="G4" s="19"/>
      <c r="I4" s="20" t="s">
        <v>1</v>
      </c>
      <c r="J4" s="20"/>
      <c r="K4" s="20"/>
      <c r="L4" s="20"/>
      <c r="M4" s="20"/>
      <c r="N4" s="20"/>
    </row>
    <row r="5" spans="2:7" ht="12.75">
      <c r="B5" s="19"/>
      <c r="C5" s="19"/>
      <c r="D5" s="19"/>
      <c r="E5" s="19"/>
      <c r="F5" s="19"/>
      <c r="G5" s="19"/>
    </row>
    <row r="6" spans="2:13" ht="12.75">
      <c r="B6" s="20" t="s">
        <v>2</v>
      </c>
      <c r="C6" s="20"/>
      <c r="D6" s="20"/>
      <c r="E6" s="20"/>
      <c r="F6" s="20"/>
      <c r="G6" s="20"/>
      <c r="I6" s="1" t="s">
        <v>3</v>
      </c>
      <c r="J6" s="1"/>
      <c r="K6" s="1"/>
      <c r="L6" s="1"/>
      <c r="M6" s="1"/>
    </row>
    <row r="7" spans="2:13" ht="12.75">
      <c r="B7" s="20" t="s">
        <v>4</v>
      </c>
      <c r="C7" s="20"/>
      <c r="D7" s="20"/>
      <c r="E7" s="20"/>
      <c r="F7" s="20"/>
      <c r="G7" s="20"/>
      <c r="I7" s="20" t="s">
        <v>5</v>
      </c>
      <c r="J7" s="20"/>
      <c r="K7" s="20"/>
      <c r="L7" s="20"/>
      <c r="M7" s="20"/>
    </row>
    <row r="8" spans="2:7" ht="12.75">
      <c r="B8" s="20" t="s">
        <v>6</v>
      </c>
      <c r="C8" s="20"/>
      <c r="D8" s="20"/>
      <c r="E8" s="20"/>
      <c r="F8" s="20"/>
      <c r="G8" s="20"/>
    </row>
    <row r="9" spans="2:7" ht="12.75">
      <c r="B9" s="20" t="s">
        <v>7</v>
      </c>
      <c r="C9" s="20"/>
      <c r="D9" s="20"/>
      <c r="E9" s="20"/>
      <c r="F9" s="20"/>
      <c r="G9" s="20"/>
    </row>
    <row r="10" spans="2:13" ht="12.75">
      <c r="B10" s="20" t="s">
        <v>8</v>
      </c>
      <c r="C10" s="20"/>
      <c r="D10" s="20"/>
      <c r="E10" s="20"/>
      <c r="F10" s="20"/>
      <c r="I10" s="20" t="s">
        <v>9</v>
      </c>
      <c r="J10" s="20"/>
      <c r="K10" s="20"/>
      <c r="L10" s="20"/>
      <c r="M10" s="20"/>
    </row>
    <row r="12" spans="4:10" ht="12.75">
      <c r="D12" s="26" t="s">
        <v>76</v>
      </c>
      <c r="E12" s="26"/>
      <c r="F12" s="26"/>
      <c r="G12" s="26"/>
      <c r="H12" s="26"/>
      <c r="I12" s="26"/>
      <c r="J12" s="26"/>
    </row>
    <row r="13" spans="4:10" ht="12.75">
      <c r="D13" s="26"/>
      <c r="E13" s="26"/>
      <c r="F13" s="26"/>
      <c r="G13" s="26"/>
      <c r="H13" s="26"/>
      <c r="I13" s="26"/>
      <c r="J13" s="26"/>
    </row>
    <row r="14" spans="4:10" ht="12.75">
      <c r="D14" s="26"/>
      <c r="E14" s="26"/>
      <c r="F14" s="26"/>
      <c r="G14" s="26"/>
      <c r="H14" s="26"/>
      <c r="I14" s="26"/>
      <c r="J14" s="26"/>
    </row>
    <row r="16" spans="11:13" ht="12.75">
      <c r="K16" s="27" t="s">
        <v>10</v>
      </c>
      <c r="L16" s="27"/>
      <c r="M16" s="27"/>
    </row>
    <row r="17" spans="11:13" ht="12.75">
      <c r="K17" s="20" t="s">
        <v>11</v>
      </c>
      <c r="L17" s="20"/>
      <c r="M17" s="20"/>
    </row>
    <row r="18" spans="11:13" ht="12.75">
      <c r="K18" s="27" t="s">
        <v>72</v>
      </c>
      <c r="L18" s="27"/>
      <c r="M18" s="27"/>
    </row>
    <row r="20" spans="2:14" ht="25.5" customHeight="1">
      <c r="B20" s="24" t="s">
        <v>12</v>
      </c>
      <c r="C20" s="24" t="s">
        <v>13</v>
      </c>
      <c r="D20" s="21" t="s">
        <v>14</v>
      </c>
      <c r="E20" s="22"/>
      <c r="F20" s="23"/>
      <c r="G20" s="24" t="s">
        <v>15</v>
      </c>
      <c r="H20" s="21" t="s">
        <v>16</v>
      </c>
      <c r="I20" s="22"/>
      <c r="J20" s="23"/>
      <c r="K20" s="21" t="s">
        <v>17</v>
      </c>
      <c r="L20" s="22"/>
      <c r="M20" s="22"/>
      <c r="N20" s="23"/>
    </row>
    <row r="21" spans="2:14" ht="12.75">
      <c r="B21" s="25"/>
      <c r="C21" s="25"/>
      <c r="D21" s="3" t="s">
        <v>131</v>
      </c>
      <c r="E21" s="3" t="s">
        <v>132</v>
      </c>
      <c r="F21" s="3" t="s">
        <v>133</v>
      </c>
      <c r="G21" s="25"/>
      <c r="H21" s="3" t="s">
        <v>21</v>
      </c>
      <c r="I21" s="3" t="s">
        <v>22</v>
      </c>
      <c r="J21" s="3" t="s">
        <v>23</v>
      </c>
      <c r="K21" s="3" t="s">
        <v>24</v>
      </c>
      <c r="L21" s="3" t="s">
        <v>25</v>
      </c>
      <c r="M21" s="3" t="s">
        <v>26</v>
      </c>
      <c r="N21" s="3" t="s">
        <v>27</v>
      </c>
    </row>
    <row r="22" spans="2:14" ht="12.75">
      <c r="B22" s="15" t="s">
        <v>73</v>
      </c>
      <c r="C22" s="2"/>
      <c r="D22" s="11"/>
      <c r="E22" s="11"/>
      <c r="F22" s="11"/>
      <c r="G22" s="9"/>
      <c r="H22" s="11"/>
      <c r="I22" s="11">
        <v>2.356</v>
      </c>
      <c r="J22" s="11"/>
      <c r="K22" s="11"/>
      <c r="L22" s="11"/>
      <c r="M22" s="11"/>
      <c r="N22" s="11"/>
    </row>
    <row r="23" spans="2:14" ht="25.5">
      <c r="B23" s="4" t="s">
        <v>47</v>
      </c>
      <c r="C23" s="2" t="s">
        <v>48</v>
      </c>
      <c r="D23" s="5">
        <v>5.8</v>
      </c>
      <c r="E23" s="5">
        <v>7.5</v>
      </c>
      <c r="F23" s="5">
        <v>44.6</v>
      </c>
      <c r="G23" s="2">
        <v>258.7</v>
      </c>
      <c r="H23" s="5">
        <v>0.06</v>
      </c>
      <c r="I23" s="5">
        <v>0.02</v>
      </c>
      <c r="J23" s="5">
        <v>1</v>
      </c>
      <c r="K23" s="5">
        <v>130.2</v>
      </c>
      <c r="L23" s="5">
        <v>23.1</v>
      </c>
      <c r="M23" s="5">
        <v>0.9</v>
      </c>
      <c r="N23" s="5">
        <v>138.5</v>
      </c>
    </row>
    <row r="24" spans="2:14" ht="12.75">
      <c r="B24" s="4" t="s">
        <v>43</v>
      </c>
      <c r="C24" s="2">
        <v>20</v>
      </c>
      <c r="D24" s="5">
        <v>5.3</v>
      </c>
      <c r="E24" s="5">
        <v>5.46</v>
      </c>
      <c r="F24" s="5">
        <v>0</v>
      </c>
      <c r="G24" s="2">
        <v>72.2</v>
      </c>
      <c r="H24" s="5">
        <v>0.05</v>
      </c>
      <c r="I24" s="5">
        <v>0</v>
      </c>
      <c r="J24" s="5">
        <v>0.3</v>
      </c>
      <c r="K24" s="5">
        <v>200</v>
      </c>
      <c r="L24" s="5">
        <v>9.4</v>
      </c>
      <c r="M24" s="5">
        <v>108.8</v>
      </c>
      <c r="N24" s="5">
        <v>0.13</v>
      </c>
    </row>
    <row r="25" spans="2:14" ht="25.5">
      <c r="B25" s="6" t="s">
        <v>30</v>
      </c>
      <c r="C25" s="7">
        <v>25</v>
      </c>
      <c r="D25" s="10">
        <v>2.02</v>
      </c>
      <c r="E25" s="10">
        <v>0.37</v>
      </c>
      <c r="F25" s="10">
        <v>13.2</v>
      </c>
      <c r="G25" s="10">
        <v>64.5</v>
      </c>
      <c r="H25" s="10">
        <v>0</v>
      </c>
      <c r="I25" s="10">
        <v>0.11</v>
      </c>
      <c r="J25" s="10">
        <v>0</v>
      </c>
      <c r="K25" s="10">
        <v>0</v>
      </c>
      <c r="L25" s="10">
        <v>0</v>
      </c>
      <c r="M25" s="10">
        <v>0</v>
      </c>
      <c r="N25" s="10">
        <v>0.5</v>
      </c>
    </row>
    <row r="26" spans="2:14" ht="12.75">
      <c r="B26" s="6" t="s">
        <v>45</v>
      </c>
      <c r="C26" s="7">
        <v>200</v>
      </c>
      <c r="D26" s="10">
        <v>3.7</v>
      </c>
      <c r="E26" s="10">
        <v>3.9</v>
      </c>
      <c r="F26" s="10">
        <v>24.8</v>
      </c>
      <c r="G26" s="10">
        <v>147.7</v>
      </c>
      <c r="H26" s="10">
        <v>0.04</v>
      </c>
      <c r="I26" s="10">
        <v>0.02</v>
      </c>
      <c r="J26" s="10">
        <v>1</v>
      </c>
      <c r="K26" s="10">
        <v>120.7</v>
      </c>
      <c r="L26" s="10">
        <v>17.6</v>
      </c>
      <c r="M26" s="10">
        <v>0.6</v>
      </c>
      <c r="N26" s="10">
        <v>125.6</v>
      </c>
    </row>
    <row r="27" spans="2:14" ht="12.75">
      <c r="B27" s="4" t="s">
        <v>108</v>
      </c>
      <c r="C27" s="2">
        <v>50</v>
      </c>
      <c r="D27" s="10">
        <f>7.5/2</f>
        <v>3.75</v>
      </c>
      <c r="E27" s="10">
        <f>11.8/2</f>
        <v>5.9</v>
      </c>
      <c r="F27" s="10">
        <f>73/2</f>
        <v>36.5</v>
      </c>
      <c r="G27" s="9">
        <f>436/2</f>
        <v>218</v>
      </c>
      <c r="H27" s="10">
        <v>0</v>
      </c>
      <c r="I27" s="10">
        <v>0.04</v>
      </c>
      <c r="J27" s="10">
        <v>0</v>
      </c>
      <c r="K27" s="10">
        <f>29/2</f>
        <v>14.5</v>
      </c>
      <c r="L27" s="10">
        <v>10</v>
      </c>
      <c r="M27" s="10">
        <v>45</v>
      </c>
      <c r="N27" s="10">
        <v>1.05</v>
      </c>
    </row>
    <row r="28" spans="2:14" ht="12.75">
      <c r="B28" s="4"/>
      <c r="C28" s="2"/>
      <c r="D28" s="8"/>
      <c r="E28" s="8"/>
      <c r="F28" s="8"/>
      <c r="G28" s="9"/>
      <c r="H28" s="8"/>
      <c r="I28" s="8"/>
      <c r="J28" s="8"/>
      <c r="K28" s="8"/>
      <c r="L28" s="8"/>
      <c r="M28" s="8"/>
      <c r="N28" s="8"/>
    </row>
    <row r="29" spans="2:14" ht="12.75">
      <c r="B29" s="17" t="s">
        <v>31</v>
      </c>
      <c r="C29" s="2"/>
      <c r="D29" s="2">
        <f aca="true" t="shared" si="0" ref="D29:N29">SUM(D23:D28)</f>
        <v>20.57</v>
      </c>
      <c r="E29" s="2">
        <f t="shared" si="0"/>
        <v>23.130000000000003</v>
      </c>
      <c r="F29" s="2">
        <f t="shared" si="0"/>
        <v>119.1</v>
      </c>
      <c r="G29" s="2">
        <f t="shared" si="0"/>
        <v>761.0999999999999</v>
      </c>
      <c r="H29" s="5">
        <f t="shared" si="0"/>
        <v>0.15</v>
      </c>
      <c r="I29" s="5">
        <f t="shared" si="0"/>
        <v>0.19</v>
      </c>
      <c r="J29" s="5">
        <f t="shared" si="0"/>
        <v>2.3</v>
      </c>
      <c r="K29" s="5">
        <f t="shared" si="0"/>
        <v>465.4</v>
      </c>
      <c r="L29" s="5">
        <f t="shared" si="0"/>
        <v>60.1</v>
      </c>
      <c r="M29" s="5">
        <f t="shared" si="0"/>
        <v>155.3</v>
      </c>
      <c r="N29" s="5">
        <f t="shared" si="0"/>
        <v>265.78000000000003</v>
      </c>
    </row>
    <row r="30" spans="2:14" ht="12.75">
      <c r="B30" s="15" t="s">
        <v>74</v>
      </c>
      <c r="C30" s="2"/>
      <c r="D30" s="12"/>
      <c r="E30" s="12"/>
      <c r="F30" s="12"/>
      <c r="G30" s="2"/>
      <c r="H30" s="12"/>
      <c r="I30" s="12"/>
      <c r="J30" s="12"/>
      <c r="K30" s="12"/>
      <c r="L30" s="12"/>
      <c r="M30" s="12"/>
      <c r="N30" s="12"/>
    </row>
    <row r="31" spans="2:14" ht="25.5">
      <c r="B31" s="6" t="s">
        <v>115</v>
      </c>
      <c r="C31" s="7" t="s">
        <v>90</v>
      </c>
      <c r="D31" s="10">
        <f>2.7+7.7</f>
        <v>10.4</v>
      </c>
      <c r="E31" s="10">
        <v>8.4</v>
      </c>
      <c r="F31" s="10">
        <v>23.95</v>
      </c>
      <c r="G31" s="10">
        <f>124.7+76.5</f>
        <v>201.2</v>
      </c>
      <c r="H31" s="10">
        <v>1</v>
      </c>
      <c r="I31" s="10">
        <v>0.1</v>
      </c>
      <c r="J31" s="10" t="s">
        <v>116</v>
      </c>
      <c r="K31" s="10">
        <f>19.5+5.95</f>
        <v>25.45</v>
      </c>
      <c r="L31" s="10">
        <f>31.8+9.15</f>
        <v>40.95</v>
      </c>
      <c r="M31" s="10">
        <f>58+81.35</f>
        <v>139.35</v>
      </c>
      <c r="N31" s="10">
        <v>2.23</v>
      </c>
    </row>
    <row r="32" spans="2:14" ht="25.5">
      <c r="B32" s="6" t="s">
        <v>34</v>
      </c>
      <c r="C32" s="7" t="s">
        <v>83</v>
      </c>
      <c r="D32" s="10">
        <v>12.44</v>
      </c>
      <c r="E32" s="10">
        <v>9.24</v>
      </c>
      <c r="F32" s="10">
        <v>12.56</v>
      </c>
      <c r="G32" s="10">
        <v>183</v>
      </c>
      <c r="H32" s="10">
        <v>18</v>
      </c>
      <c r="I32" s="10">
        <v>0.08</v>
      </c>
      <c r="J32" s="10">
        <v>0.12</v>
      </c>
      <c r="K32" s="10">
        <v>35</v>
      </c>
      <c r="L32" s="10">
        <v>19.3</v>
      </c>
      <c r="M32" s="10">
        <v>99.7</v>
      </c>
      <c r="N32" s="10">
        <v>1.2</v>
      </c>
    </row>
    <row r="33" spans="2:14" ht="12.75">
      <c r="B33" s="6" t="s">
        <v>84</v>
      </c>
      <c r="C33" s="7">
        <v>150</v>
      </c>
      <c r="D33" s="10">
        <v>5.5</v>
      </c>
      <c r="E33" s="10">
        <v>4.8</v>
      </c>
      <c r="F33" s="10">
        <v>39.5</v>
      </c>
      <c r="G33" s="10">
        <v>213.5</v>
      </c>
      <c r="H33" s="10">
        <v>0</v>
      </c>
      <c r="I33" s="10">
        <v>0.1</v>
      </c>
      <c r="J33" s="10">
        <v>0</v>
      </c>
      <c r="K33" s="10">
        <v>7.6</v>
      </c>
      <c r="L33" s="10">
        <v>8.5</v>
      </c>
      <c r="M33" s="10">
        <v>46</v>
      </c>
      <c r="N33" s="10">
        <v>0.6</v>
      </c>
    </row>
    <row r="34" spans="2:14" ht="12.75">
      <c r="B34" s="6" t="s">
        <v>62</v>
      </c>
      <c r="C34" s="7">
        <v>25</v>
      </c>
      <c r="D34" s="10">
        <v>1.9</v>
      </c>
      <c r="E34" s="10">
        <v>0.15</v>
      </c>
      <c r="F34" s="10">
        <v>13</v>
      </c>
      <c r="G34" s="10">
        <v>58</v>
      </c>
      <c r="H34" s="10">
        <v>0</v>
      </c>
      <c r="I34" s="10">
        <v>0</v>
      </c>
      <c r="J34" s="10">
        <v>0</v>
      </c>
      <c r="K34" s="10">
        <v>5</v>
      </c>
      <c r="L34" s="10">
        <v>3.5</v>
      </c>
      <c r="M34" s="10">
        <v>16.3</v>
      </c>
      <c r="N34" s="10">
        <v>0.2</v>
      </c>
    </row>
    <row r="35" spans="2:14" ht="12.75">
      <c r="B35" s="6" t="s">
        <v>36</v>
      </c>
      <c r="C35" s="7" t="s">
        <v>37</v>
      </c>
      <c r="D35" s="10">
        <v>0</v>
      </c>
      <c r="E35" s="10">
        <v>0</v>
      </c>
      <c r="F35" s="10">
        <v>14.35</v>
      </c>
      <c r="G35" s="10">
        <v>58.5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6"/>
      <c r="C36" s="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2:14" ht="12.75">
      <c r="B37" s="16" t="s">
        <v>31</v>
      </c>
      <c r="C37" s="7"/>
      <c r="D37" s="7">
        <f aca="true" t="shared" si="1" ref="D37:N37">SUM(D31:D35)</f>
        <v>30.24</v>
      </c>
      <c r="E37" s="7">
        <f t="shared" si="1"/>
        <v>22.59</v>
      </c>
      <c r="F37" s="7">
        <f t="shared" si="1"/>
        <v>103.35999999999999</v>
      </c>
      <c r="G37" s="7">
        <f t="shared" si="1"/>
        <v>714.2</v>
      </c>
      <c r="H37" s="7">
        <f t="shared" si="1"/>
        <v>19</v>
      </c>
      <c r="I37" s="7">
        <f t="shared" si="1"/>
        <v>0.28</v>
      </c>
      <c r="J37" s="7">
        <f t="shared" si="1"/>
        <v>0.12</v>
      </c>
      <c r="K37" s="7">
        <f t="shared" si="1"/>
        <v>73.05</v>
      </c>
      <c r="L37" s="7">
        <f t="shared" si="1"/>
        <v>72.25</v>
      </c>
      <c r="M37" s="7">
        <f t="shared" si="1"/>
        <v>301.35</v>
      </c>
      <c r="N37" s="7">
        <f t="shared" si="1"/>
        <v>4.2299999999999995</v>
      </c>
    </row>
    <row r="38" spans="2:14" ht="12.75">
      <c r="B38" s="16" t="s">
        <v>75</v>
      </c>
      <c r="C38" s="7"/>
      <c r="D38" s="7">
        <f aca="true" t="shared" si="2" ref="D38:N38">D29+D37</f>
        <v>50.81</v>
      </c>
      <c r="E38" s="7">
        <f t="shared" si="2"/>
        <v>45.72</v>
      </c>
      <c r="F38" s="7">
        <f t="shared" si="2"/>
        <v>222.45999999999998</v>
      </c>
      <c r="G38" s="7">
        <f t="shared" si="2"/>
        <v>1475.3</v>
      </c>
      <c r="H38" s="7">
        <f t="shared" si="2"/>
        <v>19.15</v>
      </c>
      <c r="I38" s="7">
        <f t="shared" si="2"/>
        <v>0.47000000000000003</v>
      </c>
      <c r="J38" s="7">
        <f t="shared" si="2"/>
        <v>2.42</v>
      </c>
      <c r="K38" s="7">
        <f t="shared" si="2"/>
        <v>538.4499999999999</v>
      </c>
      <c r="L38" s="7">
        <f t="shared" si="2"/>
        <v>132.35</v>
      </c>
      <c r="M38" s="7">
        <f t="shared" si="2"/>
        <v>456.65000000000003</v>
      </c>
      <c r="N38" s="7">
        <f t="shared" si="2"/>
        <v>270.01000000000005</v>
      </c>
    </row>
    <row r="39" spans="2:14" ht="12.75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sheetProtection/>
  <mergeCells count="19">
    <mergeCell ref="K20:N20"/>
    <mergeCell ref="I4:N4"/>
    <mergeCell ref="I7:M7"/>
    <mergeCell ref="I10:M10"/>
    <mergeCell ref="K16:M16"/>
    <mergeCell ref="K17:M17"/>
    <mergeCell ref="K18:M18"/>
    <mergeCell ref="D20:F20"/>
    <mergeCell ref="H20:J20"/>
    <mergeCell ref="B20:B21"/>
    <mergeCell ref="C20:C21"/>
    <mergeCell ref="G20:G21"/>
    <mergeCell ref="D12:J14"/>
    <mergeCell ref="B3:G5"/>
    <mergeCell ref="B6:G6"/>
    <mergeCell ref="B7:G7"/>
    <mergeCell ref="B8:G8"/>
    <mergeCell ref="B9:G9"/>
    <mergeCell ref="B10:F10"/>
  </mergeCells>
  <printOptions/>
  <pageMargins left="0.87" right="0.29" top="0.26" bottom="0.48" header="0.28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N31"/>
  <sheetViews>
    <sheetView zoomScalePageLayoutView="0" workbookViewId="0" topLeftCell="B1">
      <selection activeCell="F15" sqref="F15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1"/>
      <c r="J3" s="1"/>
      <c r="K3" s="1"/>
      <c r="L3" s="1"/>
      <c r="M3" s="1"/>
    </row>
    <row r="4" spans="2:13" ht="12.75">
      <c r="B4" s="20"/>
      <c r="C4" s="20"/>
      <c r="D4" s="20"/>
      <c r="E4" s="20"/>
      <c r="F4" s="20"/>
      <c r="I4" s="20"/>
      <c r="J4" s="20"/>
      <c r="K4" s="20"/>
      <c r="L4" s="20"/>
      <c r="M4" s="20"/>
    </row>
    <row r="6" spans="4:10" ht="12.75">
      <c r="D6" s="28"/>
      <c r="E6" s="28"/>
      <c r="F6" s="28"/>
      <c r="G6" s="28"/>
      <c r="H6" s="28"/>
      <c r="I6" s="28"/>
      <c r="J6" s="28"/>
    </row>
    <row r="7" spans="4:10" ht="12.75">
      <c r="D7" s="28"/>
      <c r="E7" s="28"/>
      <c r="F7" s="28"/>
      <c r="G7" s="28"/>
      <c r="H7" s="28"/>
      <c r="I7" s="28"/>
      <c r="J7" s="28"/>
    </row>
    <row r="8" spans="4:10" ht="12.75">
      <c r="D8" s="28"/>
      <c r="E8" s="28"/>
      <c r="F8" s="28"/>
      <c r="G8" s="28"/>
      <c r="H8" s="28"/>
      <c r="I8" s="28"/>
      <c r="J8" s="28"/>
    </row>
    <row r="10" spans="11:13" ht="12.75">
      <c r="K10" s="27" t="s">
        <v>38</v>
      </c>
      <c r="L10" s="27"/>
      <c r="M10" s="27"/>
    </row>
    <row r="11" spans="11:13" ht="12.75">
      <c r="K11" s="20" t="s">
        <v>11</v>
      </c>
      <c r="L11" s="20"/>
      <c r="M11" s="20"/>
    </row>
    <row r="12" spans="11:13" ht="12.75">
      <c r="K12" s="27" t="s">
        <v>72</v>
      </c>
      <c r="L12" s="27"/>
      <c r="M12" s="27"/>
    </row>
    <row r="14" spans="2:14" ht="25.5" customHeight="1">
      <c r="B14" s="24" t="s">
        <v>12</v>
      </c>
      <c r="C14" s="24" t="s">
        <v>13</v>
      </c>
      <c r="D14" s="21" t="s">
        <v>14</v>
      </c>
      <c r="E14" s="22"/>
      <c r="F14" s="23"/>
      <c r="G14" s="24" t="s">
        <v>15</v>
      </c>
      <c r="H14" s="21" t="s">
        <v>16</v>
      </c>
      <c r="I14" s="22"/>
      <c r="J14" s="23"/>
      <c r="K14" s="21" t="s">
        <v>17</v>
      </c>
      <c r="L14" s="22"/>
      <c r="M14" s="22"/>
      <c r="N14" s="23"/>
    </row>
    <row r="15" spans="2:14" ht="12.75">
      <c r="B15" s="25"/>
      <c r="C15" s="25"/>
      <c r="D15" s="3" t="s">
        <v>131</v>
      </c>
      <c r="E15" s="3" t="s">
        <v>132</v>
      </c>
      <c r="F15" s="3" t="s">
        <v>133</v>
      </c>
      <c r="G15" s="25"/>
      <c r="H15" s="3" t="s">
        <v>21</v>
      </c>
      <c r="I15" s="3" t="s">
        <v>22</v>
      </c>
      <c r="J15" s="3" t="s">
        <v>23</v>
      </c>
      <c r="K15" s="3" t="s">
        <v>24</v>
      </c>
      <c r="L15" s="3" t="s">
        <v>25</v>
      </c>
      <c r="M15" s="3" t="s">
        <v>26</v>
      </c>
      <c r="N15" s="3" t="s">
        <v>27</v>
      </c>
    </row>
    <row r="16" spans="2:14" ht="12.75">
      <c r="B16" s="15" t="s">
        <v>73</v>
      </c>
      <c r="C16" s="2"/>
      <c r="D16" s="11"/>
      <c r="E16" s="11"/>
      <c r="F16" s="11"/>
      <c r="G16" s="9"/>
      <c r="H16" s="11"/>
      <c r="I16" s="11"/>
      <c r="J16" s="11"/>
      <c r="K16" s="11"/>
      <c r="L16" s="11"/>
      <c r="M16" s="11"/>
      <c r="N16" s="11"/>
    </row>
    <row r="17" spans="2:14" ht="12.75">
      <c r="B17" s="4" t="s">
        <v>94</v>
      </c>
      <c r="C17" s="2">
        <v>250</v>
      </c>
      <c r="D17" s="8">
        <v>5.6</v>
      </c>
      <c r="E17" s="8">
        <v>5.8</v>
      </c>
      <c r="F17" s="8">
        <v>21.1</v>
      </c>
      <c r="G17" s="9">
        <v>159.5</v>
      </c>
      <c r="H17" s="8">
        <v>0</v>
      </c>
      <c r="I17" s="8">
        <v>0</v>
      </c>
      <c r="J17" s="8">
        <v>0.6</v>
      </c>
      <c r="K17" s="8">
        <v>141.9</v>
      </c>
      <c r="L17" s="8">
        <v>24.2</v>
      </c>
      <c r="M17" s="8">
        <v>136.3</v>
      </c>
      <c r="N17" s="8">
        <v>0.4</v>
      </c>
    </row>
    <row r="18" spans="2:14" ht="25.5">
      <c r="B18" s="6" t="s">
        <v>117</v>
      </c>
      <c r="C18" s="7">
        <v>100</v>
      </c>
      <c r="D18" s="10">
        <v>10.4</v>
      </c>
      <c r="E18" s="10">
        <v>12.2</v>
      </c>
      <c r="F18" s="10">
        <v>31.1</v>
      </c>
      <c r="G18" s="10">
        <v>267.3</v>
      </c>
      <c r="H18" s="10">
        <v>0</v>
      </c>
      <c r="I18" s="10">
        <v>0.06</v>
      </c>
      <c r="J18" s="10">
        <v>0</v>
      </c>
      <c r="K18" s="10">
        <v>22.8</v>
      </c>
      <c r="L18" s="10">
        <v>17.5</v>
      </c>
      <c r="M18" s="10">
        <v>117.8</v>
      </c>
      <c r="N18" s="10">
        <v>1.4</v>
      </c>
    </row>
    <row r="19" spans="2:14" ht="12.75">
      <c r="B19" s="4" t="s">
        <v>36</v>
      </c>
      <c r="C19" s="2" t="s">
        <v>37</v>
      </c>
      <c r="D19" s="8">
        <v>0</v>
      </c>
      <c r="E19" s="8">
        <v>0</v>
      </c>
      <c r="F19" s="8">
        <v>14.35</v>
      </c>
      <c r="G19" s="9">
        <v>58.5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2:14" ht="12.75">
      <c r="B20" s="6" t="s">
        <v>62</v>
      </c>
      <c r="C20" s="7">
        <v>25</v>
      </c>
      <c r="D20" s="10">
        <v>1.9</v>
      </c>
      <c r="E20" s="10">
        <v>0.15</v>
      </c>
      <c r="F20" s="10">
        <v>13</v>
      </c>
      <c r="G20" s="10">
        <v>58</v>
      </c>
      <c r="H20" s="10">
        <v>0</v>
      </c>
      <c r="I20" s="10">
        <v>0</v>
      </c>
      <c r="J20" s="10">
        <v>0</v>
      </c>
      <c r="K20" s="10">
        <v>5</v>
      </c>
      <c r="L20" s="10">
        <v>3.5</v>
      </c>
      <c r="M20" s="10">
        <v>16.3</v>
      </c>
      <c r="N20" s="10">
        <v>0.2</v>
      </c>
    </row>
    <row r="21" spans="2:14" ht="12.75">
      <c r="B21" s="4"/>
      <c r="C21" s="2"/>
      <c r="D21" s="8"/>
      <c r="E21" s="8"/>
      <c r="F21" s="8"/>
      <c r="G21" s="9"/>
      <c r="H21" s="8"/>
      <c r="I21" s="8"/>
      <c r="J21" s="8"/>
      <c r="K21" s="8"/>
      <c r="L21" s="8"/>
      <c r="M21" s="8"/>
      <c r="N21" s="8"/>
    </row>
    <row r="22" spans="2:14" ht="12.75">
      <c r="B22" s="17" t="s">
        <v>31</v>
      </c>
      <c r="C22" s="2"/>
      <c r="D22" s="10">
        <f aca="true" t="shared" si="0" ref="D22:N22">SUM(D17:D19)</f>
        <v>16</v>
      </c>
      <c r="E22" s="10">
        <f t="shared" si="0"/>
        <v>18</v>
      </c>
      <c r="F22" s="10">
        <f t="shared" si="0"/>
        <v>66.55</v>
      </c>
      <c r="G22" s="10">
        <f>SUM(G17:G20)</f>
        <v>543.3</v>
      </c>
      <c r="H22" s="10">
        <f t="shared" si="0"/>
        <v>0</v>
      </c>
      <c r="I22" s="10">
        <f t="shared" si="0"/>
        <v>0.06</v>
      </c>
      <c r="J22" s="10">
        <f t="shared" si="0"/>
        <v>0.6</v>
      </c>
      <c r="K22" s="10">
        <f t="shared" si="0"/>
        <v>164.70000000000002</v>
      </c>
      <c r="L22" s="10">
        <f t="shared" si="0"/>
        <v>41.7</v>
      </c>
      <c r="M22" s="10">
        <f t="shared" si="0"/>
        <v>254.10000000000002</v>
      </c>
      <c r="N22" s="10">
        <f t="shared" si="0"/>
        <v>1.7999999999999998</v>
      </c>
    </row>
    <row r="23" spans="2:14" ht="12.75">
      <c r="B23" s="15" t="s">
        <v>74</v>
      </c>
      <c r="C23" s="2"/>
      <c r="D23" s="11"/>
      <c r="E23" s="11"/>
      <c r="F23" s="11"/>
      <c r="G23" s="9"/>
      <c r="H23" s="11"/>
      <c r="I23" s="11"/>
      <c r="J23" s="11"/>
      <c r="K23" s="11"/>
      <c r="L23" s="11"/>
      <c r="M23" s="11"/>
      <c r="N23" s="11"/>
    </row>
    <row r="24" spans="2:14" ht="25.5">
      <c r="B24" s="6" t="s">
        <v>89</v>
      </c>
      <c r="C24" s="7" t="s">
        <v>90</v>
      </c>
      <c r="D24" s="10">
        <v>7</v>
      </c>
      <c r="E24" s="10">
        <v>15.9</v>
      </c>
      <c r="F24" s="10">
        <v>23.7</v>
      </c>
      <c r="G24" s="10">
        <v>261.2</v>
      </c>
      <c r="H24" s="10">
        <v>0.9</v>
      </c>
      <c r="I24" s="10">
        <v>0.1</v>
      </c>
      <c r="J24" s="10">
        <v>23.1</v>
      </c>
      <c r="K24" s="10">
        <v>19.4</v>
      </c>
      <c r="L24" s="10">
        <v>31.1</v>
      </c>
      <c r="M24" s="10">
        <v>76.5</v>
      </c>
      <c r="N24" s="10">
        <v>1.2</v>
      </c>
    </row>
    <row r="25" spans="2:14" ht="12.75">
      <c r="B25" s="6" t="s">
        <v>39</v>
      </c>
      <c r="C25" s="7" t="s">
        <v>118</v>
      </c>
      <c r="D25" s="10">
        <v>20.6</v>
      </c>
      <c r="E25" s="10">
        <v>18.2</v>
      </c>
      <c r="F25" s="10">
        <v>56.3</v>
      </c>
      <c r="G25" s="10">
        <v>457.9</v>
      </c>
      <c r="H25" s="10">
        <v>0.3</v>
      </c>
      <c r="I25" s="10">
        <v>0.1</v>
      </c>
      <c r="J25" s="10">
        <v>5.6</v>
      </c>
      <c r="K25" s="10">
        <v>37.1</v>
      </c>
      <c r="L25" s="10">
        <v>38</v>
      </c>
      <c r="M25" s="10">
        <v>246.8</v>
      </c>
      <c r="N25" s="10">
        <v>3.8</v>
      </c>
    </row>
    <row r="26" spans="2:14" ht="12.75">
      <c r="B26" s="6" t="s">
        <v>62</v>
      </c>
      <c r="C26" s="7">
        <v>25</v>
      </c>
      <c r="D26" s="10">
        <v>1.9</v>
      </c>
      <c r="E26" s="10">
        <v>0.15</v>
      </c>
      <c r="F26" s="10">
        <v>13</v>
      </c>
      <c r="G26" s="10">
        <v>58</v>
      </c>
      <c r="H26" s="10">
        <v>0</v>
      </c>
      <c r="I26" s="10">
        <v>0</v>
      </c>
      <c r="J26" s="10">
        <v>0</v>
      </c>
      <c r="K26" s="10">
        <v>5</v>
      </c>
      <c r="L26" s="10">
        <v>3.5</v>
      </c>
      <c r="M26" s="10">
        <v>16.3</v>
      </c>
      <c r="N26" s="10">
        <v>0.2</v>
      </c>
    </row>
    <row r="27" spans="2:14" ht="12.75">
      <c r="B27" s="6" t="s">
        <v>113</v>
      </c>
      <c r="C27" s="7">
        <v>200</v>
      </c>
      <c r="D27" s="10">
        <v>0</v>
      </c>
      <c r="E27" s="10">
        <v>0</v>
      </c>
      <c r="F27" s="10">
        <v>8.4</v>
      </c>
      <c r="G27" s="10">
        <v>33</v>
      </c>
      <c r="H27" s="10">
        <v>0.5</v>
      </c>
      <c r="I27" s="10">
        <v>0.49</v>
      </c>
      <c r="J27" s="10">
        <v>30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6"/>
      <c r="C28" s="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2:14" ht="12.75">
      <c r="B29" s="16" t="s">
        <v>31</v>
      </c>
      <c r="C29" s="7"/>
      <c r="D29" s="10">
        <f aca="true" t="shared" si="1" ref="D29:N29">SUM(D24:D27)</f>
        <v>29.5</v>
      </c>
      <c r="E29" s="10">
        <f t="shared" si="1"/>
        <v>34.25</v>
      </c>
      <c r="F29" s="10">
        <f t="shared" si="1"/>
        <v>101.4</v>
      </c>
      <c r="G29" s="10">
        <f t="shared" si="1"/>
        <v>810.0999999999999</v>
      </c>
      <c r="H29" s="10">
        <f t="shared" si="1"/>
        <v>1.7</v>
      </c>
      <c r="I29" s="10">
        <f t="shared" si="1"/>
        <v>0.69</v>
      </c>
      <c r="J29" s="10">
        <f t="shared" si="1"/>
        <v>58.7</v>
      </c>
      <c r="K29" s="10">
        <f t="shared" si="1"/>
        <v>61.5</v>
      </c>
      <c r="L29" s="10">
        <f t="shared" si="1"/>
        <v>72.6</v>
      </c>
      <c r="M29" s="10">
        <f t="shared" si="1"/>
        <v>339.6</v>
      </c>
      <c r="N29" s="10">
        <f t="shared" si="1"/>
        <v>5.2</v>
      </c>
    </row>
    <row r="30" spans="2:14" ht="12.75">
      <c r="B30" s="16" t="s">
        <v>75</v>
      </c>
      <c r="C30" s="7"/>
      <c r="D30" s="10">
        <f aca="true" t="shared" si="2" ref="D30:N30">D22+D29</f>
        <v>45.5</v>
      </c>
      <c r="E30" s="10">
        <f t="shared" si="2"/>
        <v>52.25</v>
      </c>
      <c r="F30" s="10">
        <f t="shared" si="2"/>
        <v>167.95</v>
      </c>
      <c r="G30" s="10">
        <f t="shared" si="2"/>
        <v>1353.3999999999999</v>
      </c>
      <c r="H30" s="10">
        <f t="shared" si="2"/>
        <v>1.7</v>
      </c>
      <c r="I30" s="10">
        <f t="shared" si="2"/>
        <v>0.75</v>
      </c>
      <c r="J30" s="10">
        <f t="shared" si="2"/>
        <v>59.300000000000004</v>
      </c>
      <c r="K30" s="10">
        <f t="shared" si="2"/>
        <v>226.20000000000002</v>
      </c>
      <c r="L30" s="10">
        <f t="shared" si="2"/>
        <v>114.3</v>
      </c>
      <c r="M30" s="10">
        <f t="shared" si="2"/>
        <v>593.7</v>
      </c>
      <c r="N30" s="10">
        <f t="shared" si="2"/>
        <v>7</v>
      </c>
    </row>
    <row r="31" spans="2:14" ht="12.7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</sheetData>
  <sheetProtection/>
  <mergeCells count="13">
    <mergeCell ref="C14:C15"/>
    <mergeCell ref="G14:G15"/>
    <mergeCell ref="D6:J8"/>
    <mergeCell ref="K14:N14"/>
    <mergeCell ref="I4:M4"/>
    <mergeCell ref="K10:M10"/>
    <mergeCell ref="K11:M11"/>
    <mergeCell ref="K12:M12"/>
    <mergeCell ref="B3:G3"/>
    <mergeCell ref="B4:F4"/>
    <mergeCell ref="D14:F14"/>
    <mergeCell ref="H14:J14"/>
    <mergeCell ref="B14:B15"/>
  </mergeCells>
  <printOptions/>
  <pageMargins left="0.87" right="0.29" top="0.26" bottom="0.47" header="0.28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3:N36"/>
  <sheetViews>
    <sheetView zoomScalePageLayoutView="0" workbookViewId="0" topLeftCell="B1">
      <selection activeCell="F18" sqref="F18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1"/>
      <c r="J3" s="1"/>
      <c r="K3" s="1"/>
      <c r="L3" s="1"/>
      <c r="M3" s="1"/>
    </row>
    <row r="4" spans="2:13" ht="12.75"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</row>
    <row r="5" spans="2:7" ht="12.75">
      <c r="B5" s="20"/>
      <c r="C5" s="20"/>
      <c r="D5" s="20"/>
      <c r="E5" s="20"/>
      <c r="F5" s="20"/>
      <c r="G5" s="20"/>
    </row>
    <row r="6" spans="2:7" ht="12.75">
      <c r="B6" s="20"/>
      <c r="C6" s="20"/>
      <c r="D6" s="20"/>
      <c r="E6" s="20"/>
      <c r="F6" s="20"/>
      <c r="G6" s="20"/>
    </row>
    <row r="7" spans="2:13" ht="12.75">
      <c r="B7" s="20"/>
      <c r="C7" s="20"/>
      <c r="D7" s="20"/>
      <c r="E7" s="20"/>
      <c r="F7" s="20"/>
      <c r="I7" s="20"/>
      <c r="J7" s="20"/>
      <c r="K7" s="20"/>
      <c r="L7" s="20"/>
      <c r="M7" s="20"/>
    </row>
    <row r="9" spans="4:10" ht="12.75">
      <c r="D9" s="26" t="s">
        <v>76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1" spans="4:10" ht="12.75">
      <c r="D11" s="26"/>
      <c r="E11" s="26"/>
      <c r="F11" s="26"/>
      <c r="G11" s="26"/>
      <c r="H11" s="26"/>
      <c r="I11" s="26"/>
      <c r="J11" s="26"/>
    </row>
    <row r="13" spans="11:13" ht="12.75">
      <c r="K13" s="27" t="s">
        <v>41</v>
      </c>
      <c r="L13" s="27"/>
      <c r="M13" s="27"/>
    </row>
    <row r="14" spans="11:13" ht="12.75">
      <c r="K14" s="20" t="s">
        <v>11</v>
      </c>
      <c r="L14" s="20"/>
      <c r="M14" s="20"/>
    </row>
    <row r="15" spans="11:13" ht="12.75">
      <c r="K15" s="27" t="s">
        <v>72</v>
      </c>
      <c r="L15" s="27"/>
      <c r="M15" s="27"/>
    </row>
    <row r="17" spans="2:14" ht="25.5" customHeight="1">
      <c r="B17" s="24" t="s">
        <v>12</v>
      </c>
      <c r="C17" s="24" t="s">
        <v>13</v>
      </c>
      <c r="D17" s="21" t="s">
        <v>14</v>
      </c>
      <c r="E17" s="22"/>
      <c r="F17" s="23"/>
      <c r="G17" s="24" t="s">
        <v>15</v>
      </c>
      <c r="H17" s="21" t="s">
        <v>16</v>
      </c>
      <c r="I17" s="22"/>
      <c r="J17" s="23"/>
      <c r="K17" s="21" t="s">
        <v>17</v>
      </c>
      <c r="L17" s="22"/>
      <c r="M17" s="22"/>
      <c r="N17" s="23"/>
    </row>
    <row r="18" spans="2:14" ht="12.75">
      <c r="B18" s="25"/>
      <c r="C18" s="25"/>
      <c r="D18" s="3" t="s">
        <v>131</v>
      </c>
      <c r="E18" s="3" t="s">
        <v>132</v>
      </c>
      <c r="F18" s="3" t="s">
        <v>133</v>
      </c>
      <c r="G18" s="25"/>
      <c r="H18" s="3" t="s">
        <v>21</v>
      </c>
      <c r="I18" s="3" t="s">
        <v>22</v>
      </c>
      <c r="J18" s="3" t="s">
        <v>23</v>
      </c>
      <c r="K18" s="3" t="s">
        <v>24</v>
      </c>
      <c r="L18" s="3" t="s">
        <v>25</v>
      </c>
      <c r="M18" s="3" t="s">
        <v>26</v>
      </c>
      <c r="N18" s="3" t="s">
        <v>27</v>
      </c>
    </row>
    <row r="19" spans="2:14" ht="12.75">
      <c r="B19" s="15" t="s">
        <v>73</v>
      </c>
      <c r="C19" s="2"/>
      <c r="D19" s="11"/>
      <c r="E19" s="11"/>
      <c r="F19" s="11"/>
      <c r="G19" s="9"/>
      <c r="H19" s="11"/>
      <c r="I19" s="11"/>
      <c r="J19" s="11"/>
      <c r="K19" s="11"/>
      <c r="L19" s="11"/>
      <c r="M19" s="11"/>
      <c r="N19" s="11"/>
    </row>
    <row r="20" spans="2:14" ht="12.75">
      <c r="B20" s="4" t="s">
        <v>124</v>
      </c>
      <c r="C20" s="2" t="s">
        <v>48</v>
      </c>
      <c r="D20" s="5">
        <v>6.5</v>
      </c>
      <c r="E20" s="5">
        <v>7.4</v>
      </c>
      <c r="F20" s="5">
        <v>33.9</v>
      </c>
      <c r="G20" s="2">
        <v>220.12</v>
      </c>
      <c r="H20" s="5">
        <v>0.09</v>
      </c>
      <c r="I20" s="5">
        <v>0.2</v>
      </c>
      <c r="J20" s="5">
        <v>0.75</v>
      </c>
      <c r="K20" s="5">
        <v>97.1</v>
      </c>
      <c r="L20" s="5">
        <v>50.9</v>
      </c>
      <c r="M20" s="5">
        <v>159.2</v>
      </c>
      <c r="N20" s="5">
        <v>2.7</v>
      </c>
    </row>
    <row r="21" spans="2:14" ht="25.5">
      <c r="B21" s="4" t="s">
        <v>96</v>
      </c>
      <c r="C21" s="2">
        <v>200</v>
      </c>
      <c r="D21" s="10">
        <v>2.6</v>
      </c>
      <c r="E21" s="10">
        <v>1.9</v>
      </c>
      <c r="F21" s="10">
        <v>22.9</v>
      </c>
      <c r="G21" s="9">
        <v>69</v>
      </c>
      <c r="H21" s="10">
        <v>0.02</v>
      </c>
      <c r="I21" s="10">
        <v>0.01</v>
      </c>
      <c r="J21" s="10">
        <v>0.44</v>
      </c>
      <c r="K21" s="10">
        <v>13.4</v>
      </c>
      <c r="L21" s="10">
        <v>8.9</v>
      </c>
      <c r="M21" s="10">
        <v>14.8</v>
      </c>
      <c r="N21" s="10">
        <v>0.11</v>
      </c>
    </row>
    <row r="22" spans="2:14" ht="12.75">
      <c r="B22" s="6" t="s">
        <v>62</v>
      </c>
      <c r="C22" s="7">
        <v>25</v>
      </c>
      <c r="D22" s="10">
        <v>1.9</v>
      </c>
      <c r="E22" s="10">
        <v>0.15</v>
      </c>
      <c r="F22" s="10">
        <v>13</v>
      </c>
      <c r="G22" s="10">
        <v>58</v>
      </c>
      <c r="H22" s="10">
        <v>0</v>
      </c>
      <c r="I22" s="10">
        <v>0</v>
      </c>
      <c r="J22" s="10">
        <v>0</v>
      </c>
      <c r="K22" s="10">
        <v>5</v>
      </c>
      <c r="L22" s="10">
        <v>3.5</v>
      </c>
      <c r="M22" s="10">
        <v>16.3</v>
      </c>
      <c r="N22" s="10">
        <v>0.2</v>
      </c>
    </row>
    <row r="23" spans="2:14" ht="12.75">
      <c r="B23" s="4" t="s">
        <v>88</v>
      </c>
      <c r="C23" s="2">
        <v>10</v>
      </c>
      <c r="D23" s="10">
        <v>0.08</v>
      </c>
      <c r="E23" s="10">
        <v>7.25</v>
      </c>
      <c r="F23" s="10">
        <v>0.13</v>
      </c>
      <c r="G23" s="9">
        <v>66.1</v>
      </c>
      <c r="H23" s="10">
        <v>0.04</v>
      </c>
      <c r="I23" s="10">
        <v>0</v>
      </c>
      <c r="J23" s="10">
        <v>0</v>
      </c>
      <c r="K23" s="10">
        <v>2.4</v>
      </c>
      <c r="L23" s="10">
        <v>0.05</v>
      </c>
      <c r="M23" s="10">
        <v>3</v>
      </c>
      <c r="N23" s="10">
        <v>0.02</v>
      </c>
    </row>
    <row r="24" spans="2:14" ht="12.75">
      <c r="B24" s="4" t="s">
        <v>43</v>
      </c>
      <c r="C24" s="2">
        <v>30</v>
      </c>
      <c r="D24" s="10">
        <f>5.3*30/20</f>
        <v>7.95</v>
      </c>
      <c r="E24" s="10">
        <f>5.46*30/20</f>
        <v>8.190000000000001</v>
      </c>
      <c r="F24" s="10">
        <v>0</v>
      </c>
      <c r="G24" s="9">
        <f>72.2*30/20</f>
        <v>108.3</v>
      </c>
      <c r="H24" s="10">
        <f>0.05*30/20</f>
        <v>0.075</v>
      </c>
      <c r="I24" s="10">
        <v>0</v>
      </c>
      <c r="J24" s="10">
        <f>0.3*30/20</f>
        <v>0.45</v>
      </c>
      <c r="K24" s="10">
        <f>200*30/20</f>
        <v>300</v>
      </c>
      <c r="L24" s="10">
        <f>9.4*30/20</f>
        <v>14.1</v>
      </c>
      <c r="M24" s="10">
        <f>108.8*30/20</f>
        <v>163.2</v>
      </c>
      <c r="N24" s="10">
        <f>0.13*30/20</f>
        <v>0.195</v>
      </c>
    </row>
    <row r="25" spans="2:14" ht="12.75">
      <c r="B25" s="4"/>
      <c r="C25" s="2"/>
      <c r="D25" s="8"/>
      <c r="E25" s="8"/>
      <c r="F25" s="8"/>
      <c r="G25" s="9"/>
      <c r="H25" s="8"/>
      <c r="I25" s="8"/>
      <c r="J25" s="8"/>
      <c r="K25" s="8"/>
      <c r="L25" s="8"/>
      <c r="M25" s="8"/>
      <c r="N25" s="8"/>
    </row>
    <row r="26" spans="2:14" ht="12.75">
      <c r="B26" s="17" t="s">
        <v>31</v>
      </c>
      <c r="C26" s="2"/>
      <c r="D26" s="7">
        <f aca="true" t="shared" si="0" ref="D26:N26">SUM(D20:D22)</f>
        <v>11</v>
      </c>
      <c r="E26" s="7">
        <f t="shared" si="0"/>
        <v>9.450000000000001</v>
      </c>
      <c r="F26" s="7">
        <f t="shared" si="0"/>
        <v>69.8</v>
      </c>
      <c r="G26" s="7">
        <f>SUM(G20:G24)</f>
        <v>521.52</v>
      </c>
      <c r="H26" s="7">
        <f t="shared" si="0"/>
        <v>0.11</v>
      </c>
      <c r="I26" s="7">
        <f t="shared" si="0"/>
        <v>0.21000000000000002</v>
      </c>
      <c r="J26" s="7">
        <f t="shared" si="0"/>
        <v>1.19</v>
      </c>
      <c r="K26" s="7">
        <f t="shared" si="0"/>
        <v>115.5</v>
      </c>
      <c r="L26" s="7">
        <f t="shared" si="0"/>
        <v>63.3</v>
      </c>
      <c r="M26" s="7">
        <f t="shared" si="0"/>
        <v>190.3</v>
      </c>
      <c r="N26" s="7">
        <f t="shared" si="0"/>
        <v>3.0100000000000002</v>
      </c>
    </row>
    <row r="27" spans="2:14" ht="12.75">
      <c r="B27" s="15" t="s">
        <v>74</v>
      </c>
      <c r="C27" s="2"/>
      <c r="D27" s="12"/>
      <c r="E27" s="12"/>
      <c r="F27" s="12"/>
      <c r="G27" s="2"/>
      <c r="H27" s="12"/>
      <c r="I27" s="12"/>
      <c r="J27" s="12"/>
      <c r="K27" s="12"/>
      <c r="L27" s="12"/>
      <c r="M27" s="12"/>
      <c r="N27" s="12"/>
    </row>
    <row r="28" spans="2:14" ht="12.75">
      <c r="B28" s="4" t="s">
        <v>100</v>
      </c>
      <c r="C28" s="2">
        <v>250</v>
      </c>
      <c r="D28" s="12">
        <v>2</v>
      </c>
      <c r="E28" s="12">
        <v>5</v>
      </c>
      <c r="F28" s="12">
        <v>14.65</v>
      </c>
      <c r="G28" s="2">
        <v>109.2</v>
      </c>
      <c r="H28" s="12">
        <v>0</v>
      </c>
      <c r="I28" s="12">
        <v>0</v>
      </c>
      <c r="J28" s="12">
        <v>24.8</v>
      </c>
      <c r="K28" s="12">
        <v>40.7</v>
      </c>
      <c r="L28" s="12">
        <v>28.6</v>
      </c>
      <c r="M28" s="12">
        <v>51.6</v>
      </c>
      <c r="N28" s="12">
        <v>1.4</v>
      </c>
    </row>
    <row r="29" spans="2:14" ht="25.5">
      <c r="B29" s="6" t="s">
        <v>119</v>
      </c>
      <c r="C29" s="7" t="s">
        <v>120</v>
      </c>
      <c r="D29" s="10">
        <v>15.29</v>
      </c>
      <c r="E29" s="10">
        <v>25.7</v>
      </c>
      <c r="F29" s="10">
        <v>4.2</v>
      </c>
      <c r="G29" s="10">
        <v>180.45</v>
      </c>
      <c r="H29" s="10">
        <v>2.04</v>
      </c>
      <c r="I29" s="10">
        <v>0.12</v>
      </c>
      <c r="J29" s="10">
        <v>0.54</v>
      </c>
      <c r="K29" s="10">
        <v>98.45</v>
      </c>
      <c r="L29" s="10">
        <v>21.1</v>
      </c>
      <c r="M29" s="10">
        <v>242.9</v>
      </c>
      <c r="N29" s="10">
        <v>2.58</v>
      </c>
    </row>
    <row r="30" spans="2:14" ht="25.5">
      <c r="B30" s="6" t="s">
        <v>30</v>
      </c>
      <c r="C30" s="7">
        <v>25</v>
      </c>
      <c r="D30" s="10">
        <v>2.02</v>
      </c>
      <c r="E30" s="10">
        <v>0.37</v>
      </c>
      <c r="F30" s="10">
        <v>13.2</v>
      </c>
      <c r="G30" s="10">
        <v>64.5</v>
      </c>
      <c r="H30" s="10">
        <v>0</v>
      </c>
      <c r="I30" s="10">
        <v>0.11</v>
      </c>
      <c r="J30" s="10">
        <v>0</v>
      </c>
      <c r="K30" s="10">
        <v>0</v>
      </c>
      <c r="L30" s="10">
        <v>0</v>
      </c>
      <c r="M30" s="10">
        <v>0</v>
      </c>
      <c r="N30" s="10">
        <v>0.5</v>
      </c>
    </row>
    <row r="31" spans="2:14" ht="12.75">
      <c r="B31" s="6" t="s">
        <v>29</v>
      </c>
      <c r="C31" s="7">
        <v>200</v>
      </c>
      <c r="D31" s="10">
        <v>0.6</v>
      </c>
      <c r="E31" s="10">
        <v>0</v>
      </c>
      <c r="F31" s="10">
        <v>33.6</v>
      </c>
      <c r="G31" s="10">
        <v>129.4</v>
      </c>
      <c r="H31" s="10">
        <v>0</v>
      </c>
      <c r="I31" s="10">
        <v>0</v>
      </c>
      <c r="J31" s="10">
        <v>0.4</v>
      </c>
      <c r="K31" s="10">
        <v>16.6</v>
      </c>
      <c r="L31" s="10">
        <v>0</v>
      </c>
      <c r="M31" s="10">
        <v>9</v>
      </c>
      <c r="N31" s="10">
        <v>2.2</v>
      </c>
    </row>
    <row r="32" spans="2:14" ht="12.75">
      <c r="B32" s="6" t="s">
        <v>108</v>
      </c>
      <c r="C32" s="7">
        <v>50</v>
      </c>
      <c r="D32" s="10">
        <v>5.2</v>
      </c>
      <c r="E32" s="10">
        <v>2.6</v>
      </c>
      <c r="F32" s="10">
        <v>38.4</v>
      </c>
      <c r="G32" s="10">
        <v>188</v>
      </c>
      <c r="H32" s="10">
        <v>0</v>
      </c>
      <c r="I32" s="10">
        <v>0.04</v>
      </c>
      <c r="J32" s="10">
        <v>0</v>
      </c>
      <c r="K32" s="10">
        <v>21.5</v>
      </c>
      <c r="L32" s="10">
        <v>11</v>
      </c>
      <c r="M32" s="10">
        <v>61</v>
      </c>
      <c r="N32" s="10">
        <v>0.9</v>
      </c>
    </row>
    <row r="33" spans="2:14" ht="12.75">
      <c r="B33" s="6"/>
      <c r="C33" s="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12.75">
      <c r="B34" s="16" t="s">
        <v>31</v>
      </c>
      <c r="C34" s="7"/>
      <c r="D34" s="7">
        <f aca="true" t="shared" si="1" ref="D34:N34">SUM(D29:D31)</f>
        <v>17.91</v>
      </c>
      <c r="E34" s="7">
        <f t="shared" si="1"/>
        <v>26.07</v>
      </c>
      <c r="F34" s="7">
        <f t="shared" si="1"/>
        <v>51</v>
      </c>
      <c r="G34" s="7">
        <f>SUM(G28:G32)</f>
        <v>671.55</v>
      </c>
      <c r="H34" s="7">
        <f t="shared" si="1"/>
        <v>2.04</v>
      </c>
      <c r="I34" s="7">
        <f t="shared" si="1"/>
        <v>0.22999999999999998</v>
      </c>
      <c r="J34" s="7">
        <f t="shared" si="1"/>
        <v>0.9400000000000001</v>
      </c>
      <c r="K34" s="7">
        <f t="shared" si="1"/>
        <v>115.05000000000001</v>
      </c>
      <c r="L34" s="7">
        <f t="shared" si="1"/>
        <v>21.1</v>
      </c>
      <c r="M34" s="7">
        <f t="shared" si="1"/>
        <v>251.9</v>
      </c>
      <c r="N34" s="7">
        <f t="shared" si="1"/>
        <v>5.28</v>
      </c>
    </row>
    <row r="35" spans="2:14" ht="12.75">
      <c r="B35" s="16" t="s">
        <v>75</v>
      </c>
      <c r="C35" s="7"/>
      <c r="D35" s="7">
        <f aca="true" t="shared" si="2" ref="D35:N35">D26+D34</f>
        <v>28.91</v>
      </c>
      <c r="E35" s="7">
        <f t="shared" si="2"/>
        <v>35.52</v>
      </c>
      <c r="F35" s="7">
        <f t="shared" si="2"/>
        <v>120.8</v>
      </c>
      <c r="G35" s="7">
        <f t="shared" si="2"/>
        <v>1193.07</v>
      </c>
      <c r="H35" s="7">
        <f t="shared" si="2"/>
        <v>2.15</v>
      </c>
      <c r="I35" s="7">
        <f t="shared" si="2"/>
        <v>0.44</v>
      </c>
      <c r="J35" s="7">
        <f t="shared" si="2"/>
        <v>2.13</v>
      </c>
      <c r="K35" s="7">
        <f t="shared" si="2"/>
        <v>230.55</v>
      </c>
      <c r="L35" s="7">
        <f t="shared" si="2"/>
        <v>84.4</v>
      </c>
      <c r="M35" s="7">
        <f t="shared" si="2"/>
        <v>442.20000000000005</v>
      </c>
      <c r="N35" s="7">
        <f t="shared" si="2"/>
        <v>8.290000000000001</v>
      </c>
    </row>
    <row r="36" spans="2:14" ht="12.75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</sheetData>
  <sheetProtection/>
  <mergeCells count="17">
    <mergeCell ref="I4:M4"/>
    <mergeCell ref="I7:M7"/>
    <mergeCell ref="K13:M13"/>
    <mergeCell ref="K14:M14"/>
    <mergeCell ref="K15:M15"/>
    <mergeCell ref="H17:J17"/>
    <mergeCell ref="B17:B18"/>
    <mergeCell ref="C17:C18"/>
    <mergeCell ref="G17:G18"/>
    <mergeCell ref="D9:J11"/>
    <mergeCell ref="K17:N17"/>
    <mergeCell ref="B3:G3"/>
    <mergeCell ref="B4:G4"/>
    <mergeCell ref="B5:G5"/>
    <mergeCell ref="B6:G6"/>
    <mergeCell ref="B7:F7"/>
    <mergeCell ref="D17:F17"/>
  </mergeCells>
  <printOptions/>
  <pageMargins left="0.87" right="0.29" top="0.26" bottom="0.76" header="0.28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3:N36"/>
  <sheetViews>
    <sheetView zoomScalePageLayoutView="0" workbookViewId="0" topLeftCell="B1">
      <selection activeCell="F18" sqref="D17:F18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1"/>
      <c r="J3" s="1"/>
      <c r="K3" s="1"/>
      <c r="L3" s="1"/>
      <c r="M3" s="1"/>
    </row>
    <row r="4" spans="2:13" ht="12.75"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</row>
    <row r="5" spans="2:7" ht="12.75">
      <c r="B5" s="20"/>
      <c r="C5" s="20"/>
      <c r="D5" s="20"/>
      <c r="E5" s="20"/>
      <c r="F5" s="20"/>
      <c r="G5" s="20"/>
    </row>
    <row r="6" spans="2:7" ht="12.75">
      <c r="B6" s="20"/>
      <c r="C6" s="20"/>
      <c r="D6" s="20"/>
      <c r="E6" s="20"/>
      <c r="F6" s="20"/>
      <c r="G6" s="20"/>
    </row>
    <row r="7" spans="2:13" ht="12.75">
      <c r="B7" s="20"/>
      <c r="C7" s="20"/>
      <c r="D7" s="20"/>
      <c r="E7" s="20"/>
      <c r="F7" s="20"/>
      <c r="I7" s="20"/>
      <c r="J7" s="20"/>
      <c r="K7" s="20"/>
      <c r="L7" s="20"/>
      <c r="M7" s="20"/>
    </row>
    <row r="9" spans="4:10" ht="12.75">
      <c r="D9" s="26" t="s">
        <v>76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1" spans="4:10" ht="12.75">
      <c r="D11" s="26"/>
      <c r="E11" s="26"/>
      <c r="F11" s="26"/>
      <c r="G11" s="26"/>
      <c r="H11" s="26"/>
      <c r="I11" s="26"/>
      <c r="J11" s="26"/>
    </row>
    <row r="13" spans="11:13" ht="12.75">
      <c r="K13" s="27" t="s">
        <v>46</v>
      </c>
      <c r="L13" s="27"/>
      <c r="M13" s="27"/>
    </row>
    <row r="14" spans="11:13" ht="12.75">
      <c r="K14" s="20" t="s">
        <v>11</v>
      </c>
      <c r="L14" s="20"/>
      <c r="M14" s="20"/>
    </row>
    <row r="15" spans="11:13" ht="12.75">
      <c r="K15" s="27" t="s">
        <v>72</v>
      </c>
      <c r="L15" s="27"/>
      <c r="M15" s="27"/>
    </row>
    <row r="16" spans="11:13" ht="12.75">
      <c r="K16" s="18"/>
      <c r="L16" s="18"/>
      <c r="M16" s="18"/>
    </row>
    <row r="17" spans="2:14" ht="25.5" customHeight="1">
      <c r="B17" s="24" t="s">
        <v>12</v>
      </c>
      <c r="C17" s="24" t="s">
        <v>13</v>
      </c>
      <c r="D17" s="21" t="s">
        <v>14</v>
      </c>
      <c r="E17" s="22"/>
      <c r="F17" s="23"/>
      <c r="G17" s="24" t="s">
        <v>15</v>
      </c>
      <c r="H17" s="21" t="s">
        <v>16</v>
      </c>
      <c r="I17" s="22"/>
      <c r="J17" s="23"/>
      <c r="K17" s="21" t="s">
        <v>17</v>
      </c>
      <c r="L17" s="22"/>
      <c r="M17" s="22"/>
      <c r="N17" s="23"/>
    </row>
    <row r="18" spans="2:14" ht="12.75">
      <c r="B18" s="25"/>
      <c r="C18" s="25"/>
      <c r="D18" s="3" t="s">
        <v>131</v>
      </c>
      <c r="E18" s="3" t="s">
        <v>132</v>
      </c>
      <c r="F18" s="3" t="s">
        <v>133</v>
      </c>
      <c r="G18" s="25"/>
      <c r="H18" s="3" t="s">
        <v>21</v>
      </c>
      <c r="I18" s="3" t="s">
        <v>22</v>
      </c>
      <c r="J18" s="3" t="s">
        <v>23</v>
      </c>
      <c r="K18" s="3" t="s">
        <v>24</v>
      </c>
      <c r="L18" s="3" t="s">
        <v>25</v>
      </c>
      <c r="M18" s="3" t="s">
        <v>26</v>
      </c>
      <c r="N18" s="3" t="s">
        <v>27</v>
      </c>
    </row>
    <row r="19" spans="2:14" ht="12.75">
      <c r="B19" s="15" t="s">
        <v>73</v>
      </c>
      <c r="C19" s="2"/>
      <c r="D19" s="11"/>
      <c r="E19" s="11"/>
      <c r="F19" s="11"/>
      <c r="G19" s="9"/>
      <c r="H19" s="11"/>
      <c r="I19" s="11"/>
      <c r="J19" s="11"/>
      <c r="K19" s="11"/>
      <c r="L19" s="11"/>
      <c r="M19" s="11"/>
      <c r="N19" s="11"/>
    </row>
    <row r="20" spans="2:14" ht="12.75">
      <c r="B20" s="4" t="s">
        <v>101</v>
      </c>
      <c r="C20" s="2">
        <v>250</v>
      </c>
      <c r="D20" s="8">
        <v>4.6</v>
      </c>
      <c r="E20" s="8">
        <v>5.7</v>
      </c>
      <c r="F20" s="8">
        <v>20</v>
      </c>
      <c r="G20" s="9">
        <v>145.2</v>
      </c>
      <c r="H20" s="8">
        <v>0</v>
      </c>
      <c r="I20" s="8">
        <v>0</v>
      </c>
      <c r="J20" s="8">
        <v>1.25</v>
      </c>
      <c r="K20" s="8">
        <v>155.3</v>
      </c>
      <c r="L20" s="8">
        <v>20.7</v>
      </c>
      <c r="M20" s="8">
        <v>128.7</v>
      </c>
      <c r="N20" s="8">
        <v>0.4</v>
      </c>
    </row>
    <row r="21" spans="2:14" ht="12.75">
      <c r="B21" s="4" t="s">
        <v>43</v>
      </c>
      <c r="C21" s="2">
        <v>30</v>
      </c>
      <c r="D21" s="8">
        <f>5.3*30/20</f>
        <v>7.95</v>
      </c>
      <c r="E21" s="8">
        <f>5.46*30/20</f>
        <v>8.190000000000001</v>
      </c>
      <c r="F21" s="8">
        <v>0</v>
      </c>
      <c r="G21" s="9">
        <f>72.2*30/20</f>
        <v>108.3</v>
      </c>
      <c r="H21" s="8">
        <f>0.05*30/20</f>
        <v>0.075</v>
      </c>
      <c r="I21" s="8">
        <v>0</v>
      </c>
      <c r="J21" s="8">
        <f>0.3*30/20</f>
        <v>0.45</v>
      </c>
      <c r="K21" s="8">
        <f>200*30/20</f>
        <v>300</v>
      </c>
      <c r="L21" s="8">
        <f>9.4*30/20</f>
        <v>14.1</v>
      </c>
      <c r="M21" s="8">
        <f>108.8*30/20</f>
        <v>163.2</v>
      </c>
      <c r="N21" s="8">
        <f>0.13*30/20</f>
        <v>0.195</v>
      </c>
    </row>
    <row r="22" spans="2:14" ht="12.75">
      <c r="B22" s="6" t="s">
        <v>91</v>
      </c>
      <c r="C22" s="7">
        <v>25</v>
      </c>
      <c r="D22" s="10">
        <v>1.9</v>
      </c>
      <c r="E22" s="10">
        <v>0.15</v>
      </c>
      <c r="F22" s="10">
        <v>13</v>
      </c>
      <c r="G22" s="10">
        <v>58</v>
      </c>
      <c r="H22" s="10">
        <v>0</v>
      </c>
      <c r="I22" s="10">
        <v>0</v>
      </c>
      <c r="J22" s="10">
        <v>0</v>
      </c>
      <c r="K22" s="10">
        <v>5</v>
      </c>
      <c r="L22" s="10">
        <v>3.5</v>
      </c>
      <c r="M22" s="10">
        <v>16.3</v>
      </c>
      <c r="N22" s="10">
        <v>0.2</v>
      </c>
    </row>
    <row r="23" spans="2:14" ht="12.75">
      <c r="B23" s="4" t="s">
        <v>92</v>
      </c>
      <c r="C23" s="2">
        <v>200</v>
      </c>
      <c r="D23" s="10">
        <v>1.7</v>
      </c>
      <c r="E23" s="10">
        <v>1.5</v>
      </c>
      <c r="F23" s="10">
        <v>17.4</v>
      </c>
      <c r="G23" s="9">
        <v>85.7</v>
      </c>
      <c r="H23" s="10">
        <v>0.02</v>
      </c>
      <c r="I23" s="10">
        <v>0.01</v>
      </c>
      <c r="J23" s="10">
        <v>0.2</v>
      </c>
      <c r="K23" s="10">
        <v>55.1</v>
      </c>
      <c r="L23" s="10">
        <v>8.3</v>
      </c>
      <c r="M23" s="10">
        <v>47.4</v>
      </c>
      <c r="N23" s="10">
        <v>0.07</v>
      </c>
    </row>
    <row r="24" spans="2:14" ht="12.75">
      <c r="B24" s="6" t="s">
        <v>108</v>
      </c>
      <c r="C24" s="7">
        <v>50</v>
      </c>
      <c r="D24" s="10">
        <v>5.2</v>
      </c>
      <c r="E24" s="10">
        <v>2.6</v>
      </c>
      <c r="F24" s="10">
        <v>38.4</v>
      </c>
      <c r="G24" s="10">
        <v>188</v>
      </c>
      <c r="H24" s="10">
        <v>0</v>
      </c>
      <c r="I24" s="10">
        <v>0.04</v>
      </c>
      <c r="J24" s="10">
        <v>0</v>
      </c>
      <c r="K24" s="10">
        <v>21.5</v>
      </c>
      <c r="L24" s="10">
        <v>11</v>
      </c>
      <c r="M24" s="10">
        <v>61</v>
      </c>
      <c r="N24" s="10">
        <v>0.9</v>
      </c>
    </row>
    <row r="25" spans="2:14" ht="12.75">
      <c r="B25" s="4"/>
      <c r="C25" s="2"/>
      <c r="D25" s="8"/>
      <c r="E25" s="8"/>
      <c r="F25" s="8"/>
      <c r="G25" s="9"/>
      <c r="H25" s="8"/>
      <c r="I25" s="8"/>
      <c r="J25" s="8"/>
      <c r="K25" s="8"/>
      <c r="L25" s="8"/>
      <c r="M25" s="8"/>
      <c r="N25" s="8"/>
    </row>
    <row r="26" spans="2:14" ht="12.75">
      <c r="B26" s="17" t="s">
        <v>31</v>
      </c>
      <c r="C26" s="2"/>
      <c r="D26" s="10">
        <f>SUM(D20:D23)</f>
        <v>16.150000000000002</v>
      </c>
      <c r="E26" s="10">
        <f>SUM(E20:E23)</f>
        <v>15.540000000000001</v>
      </c>
      <c r="F26" s="10">
        <f>SUM(F20:F23)</f>
        <v>50.4</v>
      </c>
      <c r="G26" s="10">
        <f>SUM(G20:G24)</f>
        <v>585.2</v>
      </c>
      <c r="H26" s="10">
        <f aca="true" t="shared" si="0" ref="H26:N26">SUM(H20:H23)</f>
        <v>0.095</v>
      </c>
      <c r="I26" s="10">
        <f t="shared" si="0"/>
        <v>0.01</v>
      </c>
      <c r="J26" s="10">
        <f t="shared" si="0"/>
        <v>1.9</v>
      </c>
      <c r="K26" s="10">
        <f t="shared" si="0"/>
        <v>515.4</v>
      </c>
      <c r="L26" s="10">
        <f t="shared" si="0"/>
        <v>46.599999999999994</v>
      </c>
      <c r="M26" s="10">
        <f t="shared" si="0"/>
        <v>355.59999999999997</v>
      </c>
      <c r="N26" s="10">
        <f t="shared" si="0"/>
        <v>0.865</v>
      </c>
    </row>
    <row r="27" spans="2:14" ht="12.75">
      <c r="B27" s="15" t="s">
        <v>74</v>
      </c>
      <c r="C27" s="2"/>
      <c r="D27" s="11"/>
      <c r="E27" s="11"/>
      <c r="F27" s="11"/>
      <c r="G27" s="9"/>
      <c r="H27" s="11"/>
      <c r="I27" s="11"/>
      <c r="J27" s="11"/>
      <c r="K27" s="11"/>
      <c r="L27" s="11"/>
      <c r="M27" s="11"/>
      <c r="N27" s="11"/>
    </row>
    <row r="28" spans="2:14" ht="25.5">
      <c r="B28" s="6" t="s">
        <v>102</v>
      </c>
      <c r="C28" s="7">
        <v>250</v>
      </c>
      <c r="D28" s="10">
        <v>6</v>
      </c>
      <c r="E28" s="10">
        <v>5.4</v>
      </c>
      <c r="F28" s="10">
        <v>23.9</v>
      </c>
      <c r="G28" s="10">
        <v>159.8</v>
      </c>
      <c r="H28" s="10">
        <v>0</v>
      </c>
      <c r="I28" s="10">
        <v>0.16</v>
      </c>
      <c r="J28" s="10">
        <v>11.5</v>
      </c>
      <c r="K28" s="10">
        <v>43.2</v>
      </c>
      <c r="L28" s="10">
        <v>37.3</v>
      </c>
      <c r="M28" s="10">
        <v>148.5</v>
      </c>
      <c r="N28" s="10">
        <v>3.1</v>
      </c>
    </row>
    <row r="29" spans="2:14" ht="25.5">
      <c r="B29" s="6" t="s">
        <v>34</v>
      </c>
      <c r="C29" s="7" t="s">
        <v>78</v>
      </c>
      <c r="D29" s="10">
        <v>16.1</v>
      </c>
      <c r="E29" s="10">
        <v>14.76</v>
      </c>
      <c r="F29" s="10">
        <v>14.05</v>
      </c>
      <c r="G29" s="10">
        <v>250.38</v>
      </c>
      <c r="H29" s="10">
        <v>0</v>
      </c>
      <c r="I29" s="10">
        <v>0.1</v>
      </c>
      <c r="J29" s="10">
        <v>0</v>
      </c>
      <c r="K29" s="10">
        <v>38.66</v>
      </c>
      <c r="L29" s="10">
        <v>21.61</v>
      </c>
      <c r="M29" s="10">
        <v>119.4</v>
      </c>
      <c r="N29" s="10">
        <v>1.45</v>
      </c>
    </row>
    <row r="30" spans="2:14" ht="12.75">
      <c r="B30" s="6" t="s">
        <v>28</v>
      </c>
      <c r="C30" s="7">
        <v>150</v>
      </c>
      <c r="D30" s="10">
        <v>4.7</v>
      </c>
      <c r="E30" s="10">
        <v>4.9</v>
      </c>
      <c r="F30" s="10">
        <v>36.9</v>
      </c>
      <c r="G30" s="10">
        <v>201.1</v>
      </c>
      <c r="H30" s="10">
        <v>0.02</v>
      </c>
      <c r="I30" s="10">
        <v>0.06</v>
      </c>
      <c r="J30" s="10">
        <v>0</v>
      </c>
      <c r="K30" s="10">
        <v>20.1</v>
      </c>
      <c r="L30" s="10">
        <v>9.2</v>
      </c>
      <c r="M30" s="10">
        <v>162.5</v>
      </c>
      <c r="N30" s="10">
        <v>1.65</v>
      </c>
    </row>
    <row r="31" spans="2:14" ht="12.75">
      <c r="B31" s="6" t="s">
        <v>62</v>
      </c>
      <c r="C31" s="7">
        <v>25</v>
      </c>
      <c r="D31" s="10">
        <v>1.9</v>
      </c>
      <c r="E31" s="10">
        <v>0.15</v>
      </c>
      <c r="F31" s="10">
        <v>13</v>
      </c>
      <c r="G31" s="10">
        <v>58</v>
      </c>
      <c r="H31" s="10">
        <v>0</v>
      </c>
      <c r="I31" s="10">
        <v>0.11</v>
      </c>
      <c r="J31" s="10">
        <v>0</v>
      </c>
      <c r="K31" s="10">
        <v>5</v>
      </c>
      <c r="L31" s="10">
        <v>3.5</v>
      </c>
      <c r="M31" s="10">
        <v>16.3</v>
      </c>
      <c r="N31" s="10">
        <v>0.2</v>
      </c>
    </row>
    <row r="32" spans="2:14" ht="12.75">
      <c r="B32" s="6" t="s">
        <v>114</v>
      </c>
      <c r="C32" s="7">
        <v>200</v>
      </c>
      <c r="D32" s="10">
        <v>0</v>
      </c>
      <c r="E32" s="10">
        <v>0</v>
      </c>
      <c r="F32" s="10">
        <v>18.4</v>
      </c>
      <c r="G32" s="10">
        <v>74</v>
      </c>
      <c r="H32" s="10">
        <v>0.5</v>
      </c>
      <c r="I32" s="10">
        <v>0.6</v>
      </c>
      <c r="J32" s="10">
        <v>30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6"/>
      <c r="C33" s="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12.75">
      <c r="B34" s="16" t="s">
        <v>31</v>
      </c>
      <c r="C34" s="7"/>
      <c r="D34" s="10">
        <f aca="true" t="shared" si="1" ref="D34:N34">SUM(D28:D32)</f>
        <v>28.7</v>
      </c>
      <c r="E34" s="10">
        <f t="shared" si="1"/>
        <v>25.21</v>
      </c>
      <c r="F34" s="10">
        <f t="shared" si="1"/>
        <v>106.25</v>
      </c>
      <c r="G34" s="10">
        <f t="shared" si="1"/>
        <v>743.28</v>
      </c>
      <c r="H34" s="10">
        <f t="shared" si="1"/>
        <v>0.52</v>
      </c>
      <c r="I34" s="10">
        <f t="shared" si="1"/>
        <v>1.03</v>
      </c>
      <c r="J34" s="10">
        <f t="shared" si="1"/>
        <v>41.5</v>
      </c>
      <c r="K34" s="10">
        <f t="shared" si="1"/>
        <v>106.96000000000001</v>
      </c>
      <c r="L34" s="10">
        <f t="shared" si="1"/>
        <v>71.61</v>
      </c>
      <c r="M34" s="10">
        <f t="shared" si="1"/>
        <v>446.7</v>
      </c>
      <c r="N34" s="10">
        <f t="shared" si="1"/>
        <v>6.3999999999999995</v>
      </c>
    </row>
    <row r="35" spans="2:14" ht="12.75">
      <c r="B35" s="16" t="s">
        <v>75</v>
      </c>
      <c r="C35" s="7"/>
      <c r="D35" s="10">
        <f aca="true" t="shared" si="2" ref="D35:N35">D26+D34</f>
        <v>44.85</v>
      </c>
      <c r="E35" s="10">
        <f t="shared" si="2"/>
        <v>40.75</v>
      </c>
      <c r="F35" s="10">
        <f t="shared" si="2"/>
        <v>156.65</v>
      </c>
      <c r="G35" s="10">
        <f t="shared" si="2"/>
        <v>1328.48</v>
      </c>
      <c r="H35" s="10">
        <f t="shared" si="2"/>
        <v>0.615</v>
      </c>
      <c r="I35" s="10">
        <f t="shared" si="2"/>
        <v>1.04</v>
      </c>
      <c r="J35" s="10">
        <f t="shared" si="2"/>
        <v>43.4</v>
      </c>
      <c r="K35" s="10">
        <f t="shared" si="2"/>
        <v>622.36</v>
      </c>
      <c r="L35" s="10">
        <f t="shared" si="2"/>
        <v>118.21</v>
      </c>
      <c r="M35" s="10">
        <f t="shared" si="2"/>
        <v>802.3</v>
      </c>
      <c r="N35" s="10">
        <f t="shared" si="2"/>
        <v>7.265</v>
      </c>
    </row>
    <row r="36" spans="2:14" ht="12.75">
      <c r="B36" s="16"/>
      <c r="C36" s="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</sheetData>
  <sheetProtection/>
  <mergeCells count="17">
    <mergeCell ref="D17:F17"/>
    <mergeCell ref="B17:B18"/>
    <mergeCell ref="C17:C18"/>
    <mergeCell ref="G17:G18"/>
    <mergeCell ref="D9:J11"/>
    <mergeCell ref="K17:N17"/>
    <mergeCell ref="B3:G3"/>
    <mergeCell ref="B4:G4"/>
    <mergeCell ref="B5:G5"/>
    <mergeCell ref="B6:G6"/>
    <mergeCell ref="B7:F7"/>
    <mergeCell ref="I4:M4"/>
    <mergeCell ref="I7:M7"/>
    <mergeCell ref="K13:M13"/>
    <mergeCell ref="K14:M14"/>
    <mergeCell ref="K15:M15"/>
    <mergeCell ref="H17:J17"/>
  </mergeCells>
  <printOptions/>
  <pageMargins left="0.87" right="0.29" top="0.26" bottom="1" header="0.28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N36"/>
  <sheetViews>
    <sheetView zoomScalePageLayoutView="0" workbookViewId="0" topLeftCell="B1">
      <selection activeCell="F18" sqref="F18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1"/>
      <c r="J3" s="1"/>
      <c r="K3" s="1"/>
      <c r="L3" s="1"/>
      <c r="M3" s="1"/>
    </row>
    <row r="4" spans="2:13" ht="12.75"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</row>
    <row r="5" spans="2:7" ht="12.75">
      <c r="B5" s="20"/>
      <c r="C5" s="20"/>
      <c r="D5" s="20"/>
      <c r="E5" s="20"/>
      <c r="F5" s="20"/>
      <c r="G5" s="20"/>
    </row>
    <row r="6" spans="2:7" ht="12.75">
      <c r="B6" s="20"/>
      <c r="C6" s="20"/>
      <c r="D6" s="20"/>
      <c r="E6" s="20"/>
      <c r="F6" s="20"/>
      <c r="G6" s="20"/>
    </row>
    <row r="7" spans="2:13" ht="12.75">
      <c r="B7" s="20"/>
      <c r="C7" s="20"/>
      <c r="D7" s="20"/>
      <c r="E7" s="20"/>
      <c r="F7" s="20"/>
      <c r="I7" s="20"/>
      <c r="J7" s="20"/>
      <c r="K7" s="20"/>
      <c r="L7" s="20"/>
      <c r="M7" s="20"/>
    </row>
    <row r="9" spans="4:10" ht="12.75">
      <c r="D9" s="26" t="s">
        <v>76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1" spans="4:10" ht="12.75">
      <c r="D11" s="26"/>
      <c r="E11" s="26"/>
      <c r="F11" s="26"/>
      <c r="G11" s="26"/>
      <c r="H11" s="26"/>
      <c r="I11" s="26"/>
      <c r="J11" s="26"/>
    </row>
    <row r="13" spans="11:13" ht="12.75">
      <c r="K13" s="27" t="s">
        <v>50</v>
      </c>
      <c r="L13" s="27"/>
      <c r="M13" s="27"/>
    </row>
    <row r="14" spans="11:13" ht="12.75">
      <c r="K14" s="20" t="s">
        <v>11</v>
      </c>
      <c r="L14" s="20"/>
      <c r="M14" s="20"/>
    </row>
    <row r="15" spans="11:13" ht="12.75">
      <c r="K15" s="27" t="s">
        <v>72</v>
      </c>
      <c r="L15" s="27"/>
      <c r="M15" s="27"/>
    </row>
    <row r="17" spans="2:14" ht="25.5" customHeight="1">
      <c r="B17" s="24" t="s">
        <v>12</v>
      </c>
      <c r="C17" s="24" t="s">
        <v>13</v>
      </c>
      <c r="D17" s="21" t="s">
        <v>14</v>
      </c>
      <c r="E17" s="22"/>
      <c r="F17" s="23"/>
      <c r="G17" s="24" t="s">
        <v>15</v>
      </c>
      <c r="H17" s="21" t="s">
        <v>16</v>
      </c>
      <c r="I17" s="22"/>
      <c r="J17" s="23"/>
      <c r="K17" s="21" t="s">
        <v>17</v>
      </c>
      <c r="L17" s="22"/>
      <c r="M17" s="22"/>
      <c r="N17" s="23"/>
    </row>
    <row r="18" spans="2:14" ht="12.75">
      <c r="B18" s="25"/>
      <c r="C18" s="25"/>
      <c r="D18" s="3" t="s">
        <v>131</v>
      </c>
      <c r="E18" s="3" t="s">
        <v>132</v>
      </c>
      <c r="F18" s="3" t="s">
        <v>133</v>
      </c>
      <c r="G18" s="25"/>
      <c r="H18" s="3" t="s">
        <v>21</v>
      </c>
      <c r="I18" s="3" t="s">
        <v>22</v>
      </c>
      <c r="J18" s="3" t="s">
        <v>23</v>
      </c>
      <c r="K18" s="3" t="s">
        <v>24</v>
      </c>
      <c r="L18" s="3" t="s">
        <v>25</v>
      </c>
      <c r="M18" s="3" t="s">
        <v>26</v>
      </c>
      <c r="N18" s="3" t="s">
        <v>27</v>
      </c>
    </row>
    <row r="19" spans="2:14" ht="12.75">
      <c r="B19" s="15" t="s">
        <v>73</v>
      </c>
      <c r="C19" s="2"/>
      <c r="D19" s="11"/>
      <c r="E19" s="11"/>
      <c r="F19" s="11"/>
      <c r="G19" s="9"/>
      <c r="H19" s="11"/>
      <c r="I19" s="11"/>
      <c r="J19" s="11"/>
      <c r="K19" s="11"/>
      <c r="L19" s="11"/>
      <c r="M19" s="11"/>
      <c r="N19" s="11"/>
    </row>
    <row r="20" spans="2:14" ht="12.75">
      <c r="B20" s="4" t="s">
        <v>94</v>
      </c>
      <c r="C20" s="2">
        <v>250</v>
      </c>
      <c r="D20" s="8">
        <v>5.6</v>
      </c>
      <c r="E20" s="8">
        <v>5.8</v>
      </c>
      <c r="F20" s="8">
        <v>21.1</v>
      </c>
      <c r="G20" s="9">
        <v>159.5</v>
      </c>
      <c r="H20" s="8">
        <v>0</v>
      </c>
      <c r="I20" s="8">
        <v>0</v>
      </c>
      <c r="J20" s="8">
        <v>0.6</v>
      </c>
      <c r="K20" s="8">
        <v>141.9</v>
      </c>
      <c r="L20" s="8">
        <v>24.2</v>
      </c>
      <c r="M20" s="8">
        <v>136.3</v>
      </c>
      <c r="N20" s="8">
        <v>0.4</v>
      </c>
    </row>
    <row r="21" spans="2:14" ht="25.5">
      <c r="B21" s="4" t="s">
        <v>30</v>
      </c>
      <c r="C21" s="2">
        <v>25</v>
      </c>
      <c r="D21" s="8">
        <v>2.02</v>
      </c>
      <c r="E21" s="8">
        <v>0.37</v>
      </c>
      <c r="F21" s="8">
        <v>13.2</v>
      </c>
      <c r="G21" s="9">
        <v>64.5</v>
      </c>
      <c r="H21" s="8">
        <v>0</v>
      </c>
      <c r="I21" s="8">
        <v>0.11</v>
      </c>
      <c r="J21" s="8">
        <v>0</v>
      </c>
      <c r="K21" s="8">
        <v>0</v>
      </c>
      <c r="L21" s="8">
        <v>0</v>
      </c>
      <c r="M21" s="8">
        <v>0</v>
      </c>
      <c r="N21" s="8">
        <v>0.5</v>
      </c>
    </row>
    <row r="22" spans="2:14" ht="12.75">
      <c r="B22" s="6" t="s">
        <v>88</v>
      </c>
      <c r="C22" s="7">
        <v>10</v>
      </c>
      <c r="D22" s="10">
        <v>0.13</v>
      </c>
      <c r="E22" s="10">
        <v>7.25</v>
      </c>
      <c r="F22" s="10">
        <v>0.09</v>
      </c>
      <c r="G22" s="10">
        <v>66.1</v>
      </c>
      <c r="H22" s="10">
        <v>0.04</v>
      </c>
      <c r="I22" s="10">
        <v>0.04</v>
      </c>
      <c r="J22" s="10">
        <v>0</v>
      </c>
      <c r="K22" s="10">
        <v>2.4</v>
      </c>
      <c r="L22" s="10">
        <v>0.3</v>
      </c>
      <c r="M22" s="10">
        <v>2</v>
      </c>
      <c r="N22" s="10">
        <v>0.02</v>
      </c>
    </row>
    <row r="23" spans="2:14" ht="12.75">
      <c r="B23" s="4" t="s">
        <v>43</v>
      </c>
      <c r="C23" s="2">
        <v>30</v>
      </c>
      <c r="D23" s="10">
        <f>5.3*30/20</f>
        <v>7.95</v>
      </c>
      <c r="E23" s="10">
        <f>5.46*30/20</f>
        <v>8.190000000000001</v>
      </c>
      <c r="F23" s="10">
        <v>0</v>
      </c>
      <c r="G23" s="9">
        <f>72.2*30/20</f>
        <v>108.3</v>
      </c>
      <c r="H23" s="10">
        <f>0.05*30/20</f>
        <v>0.075</v>
      </c>
      <c r="I23" s="10">
        <v>0</v>
      </c>
      <c r="J23" s="10">
        <f>0.3*30/20</f>
        <v>0.45</v>
      </c>
      <c r="K23" s="10">
        <f>200*30/20</f>
        <v>300</v>
      </c>
      <c r="L23" s="10">
        <f>9.4*30/20</f>
        <v>14.1</v>
      </c>
      <c r="M23" s="10">
        <f>108.8*30/20</f>
        <v>163.2</v>
      </c>
      <c r="N23" s="10">
        <f>0.13*30/20</f>
        <v>0.195</v>
      </c>
    </row>
    <row r="24" spans="2:14" ht="12.75">
      <c r="B24" s="4" t="s">
        <v>45</v>
      </c>
      <c r="C24" s="2">
        <v>200</v>
      </c>
      <c r="D24" s="10">
        <v>3.7</v>
      </c>
      <c r="E24" s="10">
        <v>3.9</v>
      </c>
      <c r="F24" s="10">
        <v>24.8</v>
      </c>
      <c r="G24" s="9">
        <v>147.7</v>
      </c>
      <c r="H24" s="10">
        <v>0.04</v>
      </c>
      <c r="I24" s="10">
        <v>0.02</v>
      </c>
      <c r="J24" s="10">
        <v>1</v>
      </c>
      <c r="K24" s="10">
        <v>120.7</v>
      </c>
      <c r="L24" s="10">
        <v>17.6</v>
      </c>
      <c r="M24" s="10">
        <v>0.6</v>
      </c>
      <c r="N24" s="10">
        <v>125.6</v>
      </c>
    </row>
    <row r="25" spans="2:14" ht="12.75">
      <c r="B25" s="4"/>
      <c r="C25" s="2"/>
      <c r="D25" s="8"/>
      <c r="E25" s="8"/>
      <c r="F25" s="8"/>
      <c r="G25" s="9"/>
      <c r="H25" s="8"/>
      <c r="I25" s="8"/>
      <c r="J25" s="8"/>
      <c r="K25" s="8"/>
      <c r="L25" s="8"/>
      <c r="M25" s="8"/>
      <c r="N25" s="8"/>
    </row>
    <row r="26" spans="2:14" ht="12.75">
      <c r="B26" s="17" t="s">
        <v>31</v>
      </c>
      <c r="C26" s="2"/>
      <c r="D26" s="10">
        <f>SUM(D20:D24)</f>
        <v>19.4</v>
      </c>
      <c r="E26" s="10">
        <f>SUM(E20:E24)</f>
        <v>25.509999999999998</v>
      </c>
      <c r="F26" s="10">
        <f>SUM(F20:F24)</f>
        <v>59.19</v>
      </c>
      <c r="G26" s="10">
        <f>SUM(G20:G24)</f>
        <v>546.1</v>
      </c>
      <c r="H26" s="10">
        <f aca="true" t="shared" si="0" ref="H26:N26">SUM(H20:H24)</f>
        <v>0.155</v>
      </c>
      <c r="I26" s="10">
        <f t="shared" si="0"/>
        <v>0.16999999999999998</v>
      </c>
      <c r="J26" s="10">
        <f t="shared" si="0"/>
        <v>2.05</v>
      </c>
      <c r="K26" s="10">
        <f t="shared" si="0"/>
        <v>565</v>
      </c>
      <c r="L26" s="10">
        <f t="shared" si="0"/>
        <v>56.2</v>
      </c>
      <c r="M26" s="10">
        <f t="shared" si="0"/>
        <v>302.1</v>
      </c>
      <c r="N26" s="10">
        <f t="shared" si="0"/>
        <v>126.71499999999999</v>
      </c>
    </row>
    <row r="27" spans="2:14" ht="12.75">
      <c r="B27" s="15" t="s">
        <v>74</v>
      </c>
      <c r="C27" s="2"/>
      <c r="D27" s="11"/>
      <c r="E27" s="11"/>
      <c r="F27" s="11"/>
      <c r="G27" s="9"/>
      <c r="H27" s="11"/>
      <c r="I27" s="11"/>
      <c r="J27" s="11"/>
      <c r="K27" s="11"/>
      <c r="L27" s="11"/>
      <c r="M27" s="11"/>
      <c r="N27" s="11"/>
    </row>
    <row r="28" spans="2:14" ht="12.75">
      <c r="B28" s="4" t="s">
        <v>93</v>
      </c>
      <c r="C28" s="2">
        <v>250</v>
      </c>
      <c r="D28" s="11">
        <v>7.4</v>
      </c>
      <c r="E28" s="11">
        <v>20.1</v>
      </c>
      <c r="F28" s="11">
        <v>42.1</v>
      </c>
      <c r="G28" s="9">
        <v>84.5</v>
      </c>
      <c r="H28" s="11">
        <v>0</v>
      </c>
      <c r="I28" s="11">
        <v>0</v>
      </c>
      <c r="J28" s="11">
        <v>32.9</v>
      </c>
      <c r="K28" s="11">
        <v>32.2</v>
      </c>
      <c r="L28" s="11">
        <v>17.3</v>
      </c>
      <c r="M28" s="11">
        <v>40.7</v>
      </c>
      <c r="N28" s="11">
        <v>17.9</v>
      </c>
    </row>
    <row r="29" spans="2:14" ht="12.75">
      <c r="B29" s="4" t="s">
        <v>51</v>
      </c>
      <c r="C29" s="2" t="s">
        <v>110</v>
      </c>
      <c r="D29" s="8">
        <v>25.6</v>
      </c>
      <c r="E29" s="8">
        <f>14.8*80/50</f>
        <v>23.68</v>
      </c>
      <c r="F29" s="8">
        <f>5.8*80/50</f>
        <v>9.28</v>
      </c>
      <c r="G29" s="9">
        <f>219.8*80/50</f>
        <v>351.68</v>
      </c>
      <c r="H29" s="8">
        <v>0</v>
      </c>
      <c r="I29" s="8">
        <f>0.1*80/50</f>
        <v>0.16</v>
      </c>
      <c r="J29" s="8">
        <f>4.6*80/50</f>
        <v>7.36</v>
      </c>
      <c r="K29" s="8">
        <f>14.8*80/50</f>
        <v>23.68</v>
      </c>
      <c r="L29" s="8">
        <f>19.3*80/50</f>
        <v>30.88</v>
      </c>
      <c r="M29" s="8">
        <f>176.9*80/50</f>
        <v>283.04</v>
      </c>
      <c r="N29" s="8">
        <f>2.3*80/50</f>
        <v>3.68</v>
      </c>
    </row>
    <row r="30" spans="2:14" ht="12.75">
      <c r="B30" s="6" t="s">
        <v>52</v>
      </c>
      <c r="C30" s="7">
        <v>150</v>
      </c>
      <c r="D30" s="10">
        <v>7.95</v>
      </c>
      <c r="E30" s="10">
        <v>5.85</v>
      </c>
      <c r="F30" s="10">
        <v>42.6</v>
      </c>
      <c r="G30" s="10">
        <v>245.1</v>
      </c>
      <c r="H30" s="10">
        <v>0</v>
      </c>
      <c r="I30" s="10">
        <v>0.3</v>
      </c>
      <c r="J30" s="10">
        <v>0</v>
      </c>
      <c r="K30" s="10">
        <v>44.85</v>
      </c>
      <c r="L30" s="10">
        <v>61.05</v>
      </c>
      <c r="M30" s="10">
        <v>176.45</v>
      </c>
      <c r="N30" s="10">
        <v>4.95</v>
      </c>
    </row>
    <row r="31" spans="2:14" ht="12.75">
      <c r="B31" s="6" t="s">
        <v>62</v>
      </c>
      <c r="C31" s="7">
        <v>25</v>
      </c>
      <c r="D31" s="10">
        <v>1.9</v>
      </c>
      <c r="E31" s="10">
        <v>0.15</v>
      </c>
      <c r="F31" s="10">
        <v>13</v>
      </c>
      <c r="G31" s="10">
        <v>58</v>
      </c>
      <c r="H31" s="10">
        <v>0</v>
      </c>
      <c r="I31" s="10">
        <v>0.11</v>
      </c>
      <c r="J31" s="10">
        <v>0</v>
      </c>
      <c r="K31" s="10">
        <v>5</v>
      </c>
      <c r="L31" s="10">
        <v>3.5</v>
      </c>
      <c r="M31" s="10">
        <v>16.3</v>
      </c>
      <c r="N31" s="10">
        <v>0.2</v>
      </c>
    </row>
    <row r="32" spans="2:14" ht="12.75">
      <c r="B32" s="6" t="s">
        <v>36</v>
      </c>
      <c r="C32" s="7" t="s">
        <v>37</v>
      </c>
      <c r="D32" s="10">
        <v>0</v>
      </c>
      <c r="E32" s="10">
        <v>0</v>
      </c>
      <c r="F32" s="10">
        <v>14.35</v>
      </c>
      <c r="G32" s="10">
        <v>58.5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6"/>
      <c r="C33" s="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12.75">
      <c r="B34" s="16" t="s">
        <v>31</v>
      </c>
      <c r="C34" s="7"/>
      <c r="D34" s="10">
        <f aca="true" t="shared" si="1" ref="D34:N34">SUM(D29:D32)</f>
        <v>35.45</v>
      </c>
      <c r="E34" s="10">
        <f t="shared" si="1"/>
        <v>29.68</v>
      </c>
      <c r="F34" s="10">
        <f t="shared" si="1"/>
        <v>79.22999999999999</v>
      </c>
      <c r="G34" s="10">
        <f>SUM(G28:G32)</f>
        <v>797.78</v>
      </c>
      <c r="H34" s="10">
        <f t="shared" si="1"/>
        <v>0</v>
      </c>
      <c r="I34" s="10">
        <f t="shared" si="1"/>
        <v>0.57</v>
      </c>
      <c r="J34" s="10">
        <f t="shared" si="1"/>
        <v>7.36</v>
      </c>
      <c r="K34" s="10">
        <f t="shared" si="1"/>
        <v>73.53</v>
      </c>
      <c r="L34" s="10">
        <f t="shared" si="1"/>
        <v>95.42999999999999</v>
      </c>
      <c r="M34" s="10">
        <f t="shared" si="1"/>
        <v>475.79</v>
      </c>
      <c r="N34" s="10">
        <f t="shared" si="1"/>
        <v>8.83</v>
      </c>
    </row>
    <row r="35" spans="2:14" ht="12.75">
      <c r="B35" s="16" t="s">
        <v>75</v>
      </c>
      <c r="C35" s="7"/>
      <c r="D35" s="10">
        <f aca="true" t="shared" si="2" ref="D35:N35">D26+D34</f>
        <v>54.85</v>
      </c>
      <c r="E35" s="10">
        <f t="shared" si="2"/>
        <v>55.19</v>
      </c>
      <c r="F35" s="10">
        <f t="shared" si="2"/>
        <v>138.42</v>
      </c>
      <c r="G35" s="10">
        <f t="shared" si="2"/>
        <v>1343.88</v>
      </c>
      <c r="H35" s="10">
        <f t="shared" si="2"/>
        <v>0.155</v>
      </c>
      <c r="I35" s="10">
        <f t="shared" si="2"/>
        <v>0.74</v>
      </c>
      <c r="J35" s="10">
        <f t="shared" si="2"/>
        <v>9.41</v>
      </c>
      <c r="K35" s="10">
        <f t="shared" si="2"/>
        <v>638.53</v>
      </c>
      <c r="L35" s="10">
        <f t="shared" si="2"/>
        <v>151.63</v>
      </c>
      <c r="M35" s="10">
        <f t="shared" si="2"/>
        <v>777.8900000000001</v>
      </c>
      <c r="N35" s="10">
        <f t="shared" si="2"/>
        <v>135.545</v>
      </c>
    </row>
    <row r="36" spans="2:14" ht="12.75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</sheetData>
  <sheetProtection/>
  <mergeCells count="17">
    <mergeCell ref="I4:M4"/>
    <mergeCell ref="I7:M7"/>
    <mergeCell ref="K13:M13"/>
    <mergeCell ref="K14:M14"/>
    <mergeCell ref="K15:M15"/>
    <mergeCell ref="H17:J17"/>
    <mergeCell ref="B17:B18"/>
    <mergeCell ref="C17:C18"/>
    <mergeCell ref="G17:G18"/>
    <mergeCell ref="D9:J11"/>
    <mergeCell ref="K17:N17"/>
    <mergeCell ref="B3:G3"/>
    <mergeCell ref="B4:G4"/>
    <mergeCell ref="B5:G5"/>
    <mergeCell ref="B6:G6"/>
    <mergeCell ref="B7:F7"/>
    <mergeCell ref="D17:F17"/>
  </mergeCells>
  <printOptions/>
  <pageMargins left="0.87" right="0.29" top="0.26" bottom="1" header="0.28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3:O36"/>
  <sheetViews>
    <sheetView zoomScalePageLayoutView="0" workbookViewId="0" topLeftCell="B1">
      <selection activeCell="F18" sqref="F18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1"/>
      <c r="J3" s="1"/>
      <c r="K3" s="1"/>
      <c r="L3" s="1"/>
      <c r="M3" s="1"/>
    </row>
    <row r="4" spans="2:13" ht="12.75"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</row>
    <row r="5" spans="2:7" ht="12.75">
      <c r="B5" s="20"/>
      <c r="C5" s="20"/>
      <c r="D5" s="20"/>
      <c r="E5" s="20"/>
      <c r="F5" s="20"/>
      <c r="G5" s="20"/>
    </row>
    <row r="6" spans="2:7" ht="12.75">
      <c r="B6" s="20"/>
      <c r="C6" s="20"/>
      <c r="D6" s="20"/>
      <c r="E6" s="20"/>
      <c r="F6" s="20"/>
      <c r="G6" s="20"/>
    </row>
    <row r="7" spans="2:13" ht="12.75">
      <c r="B7" s="20"/>
      <c r="C7" s="20"/>
      <c r="D7" s="20"/>
      <c r="E7" s="20"/>
      <c r="F7" s="20"/>
      <c r="I7" s="20"/>
      <c r="J7" s="20"/>
      <c r="K7" s="20"/>
      <c r="L7" s="20"/>
      <c r="M7" s="20"/>
    </row>
    <row r="9" spans="4:10" ht="12.75">
      <c r="D9" s="26" t="s">
        <v>76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1" spans="4:10" ht="12.75">
      <c r="D11" s="26"/>
      <c r="E11" s="26"/>
      <c r="F11" s="26"/>
      <c r="G11" s="26"/>
      <c r="H11" s="26"/>
      <c r="I11" s="26"/>
      <c r="J11" s="26"/>
    </row>
    <row r="13" spans="11:13" ht="12.75">
      <c r="K13" s="27" t="s">
        <v>53</v>
      </c>
      <c r="L13" s="27"/>
      <c r="M13" s="27"/>
    </row>
    <row r="14" spans="11:13" ht="12.75">
      <c r="K14" s="20" t="s">
        <v>11</v>
      </c>
      <c r="L14" s="20"/>
      <c r="M14" s="20"/>
    </row>
    <row r="15" spans="11:13" ht="12.75">
      <c r="K15" s="27" t="s">
        <v>72</v>
      </c>
      <c r="L15" s="27"/>
      <c r="M15" s="27"/>
    </row>
    <row r="17" spans="2:14" ht="25.5" customHeight="1">
      <c r="B17" s="24" t="s">
        <v>12</v>
      </c>
      <c r="C17" s="24" t="s">
        <v>13</v>
      </c>
      <c r="D17" s="21" t="s">
        <v>14</v>
      </c>
      <c r="E17" s="22"/>
      <c r="F17" s="23"/>
      <c r="G17" s="24" t="s">
        <v>15</v>
      </c>
      <c r="H17" s="21" t="s">
        <v>16</v>
      </c>
      <c r="I17" s="22"/>
      <c r="J17" s="23"/>
      <c r="K17" s="21" t="s">
        <v>17</v>
      </c>
      <c r="L17" s="22"/>
      <c r="M17" s="22"/>
      <c r="N17" s="23"/>
    </row>
    <row r="18" spans="2:14" ht="12.75">
      <c r="B18" s="25"/>
      <c r="C18" s="25"/>
      <c r="D18" s="3" t="s">
        <v>131</v>
      </c>
      <c r="E18" s="3" t="s">
        <v>132</v>
      </c>
      <c r="F18" s="3" t="s">
        <v>133</v>
      </c>
      <c r="G18" s="25"/>
      <c r="H18" s="3" t="s">
        <v>21</v>
      </c>
      <c r="I18" s="3" t="s">
        <v>22</v>
      </c>
      <c r="J18" s="3" t="s">
        <v>23</v>
      </c>
      <c r="K18" s="3" t="s">
        <v>24</v>
      </c>
      <c r="L18" s="3" t="s">
        <v>25</v>
      </c>
      <c r="M18" s="3" t="s">
        <v>26</v>
      </c>
      <c r="N18" s="3" t="s">
        <v>27</v>
      </c>
    </row>
    <row r="19" spans="2:14" ht="12.75">
      <c r="B19" s="15" t="s">
        <v>73</v>
      </c>
      <c r="C19" s="2"/>
      <c r="D19" s="11"/>
      <c r="E19" s="11"/>
      <c r="F19" s="11"/>
      <c r="G19" s="9"/>
      <c r="H19" s="11"/>
      <c r="I19" s="11"/>
      <c r="J19" s="11"/>
      <c r="K19" s="11"/>
      <c r="L19" s="11"/>
      <c r="M19" s="11"/>
      <c r="N19" s="11"/>
    </row>
    <row r="20" spans="2:14" ht="25.5">
      <c r="B20" s="4" t="s">
        <v>95</v>
      </c>
      <c r="C20" s="2" t="s">
        <v>48</v>
      </c>
      <c r="D20" s="5">
        <v>7.7</v>
      </c>
      <c r="E20" s="5">
        <v>8.8</v>
      </c>
      <c r="F20" s="5">
        <v>42.8</v>
      </c>
      <c r="G20" s="2">
        <v>272.5</v>
      </c>
      <c r="H20" s="5">
        <v>0.13</v>
      </c>
      <c r="I20" s="5">
        <v>0.1</v>
      </c>
      <c r="J20" s="5">
        <v>1.3</v>
      </c>
      <c r="K20" s="5">
        <v>128.9</v>
      </c>
      <c r="L20" s="5">
        <v>27</v>
      </c>
      <c r="M20" s="5">
        <v>133</v>
      </c>
      <c r="N20" s="5">
        <v>2</v>
      </c>
    </row>
    <row r="21" spans="2:14" ht="25.5">
      <c r="B21" s="4" t="s">
        <v>123</v>
      </c>
      <c r="C21" s="2">
        <v>100</v>
      </c>
      <c r="D21" s="5">
        <v>10.4</v>
      </c>
      <c r="E21" s="5">
        <v>12.2</v>
      </c>
      <c r="F21" s="5">
        <v>31.1</v>
      </c>
      <c r="G21" s="2">
        <v>267.3</v>
      </c>
      <c r="H21" s="5">
        <v>0</v>
      </c>
      <c r="I21" s="5">
        <v>0.06</v>
      </c>
      <c r="J21" s="5">
        <v>0</v>
      </c>
      <c r="K21" s="5">
        <v>22.8</v>
      </c>
      <c r="L21" s="5">
        <v>17.5</v>
      </c>
      <c r="M21" s="5">
        <v>117.8</v>
      </c>
      <c r="N21" s="5">
        <v>1.4</v>
      </c>
    </row>
    <row r="22" spans="2:14" ht="12.75">
      <c r="B22" s="6" t="s">
        <v>62</v>
      </c>
      <c r="C22" s="7">
        <v>25</v>
      </c>
      <c r="D22" s="10">
        <v>1.9</v>
      </c>
      <c r="E22" s="10">
        <v>0.15</v>
      </c>
      <c r="F22" s="10">
        <v>13</v>
      </c>
      <c r="G22" s="10">
        <v>58</v>
      </c>
      <c r="H22" s="10">
        <v>0</v>
      </c>
      <c r="I22" s="10">
        <v>0</v>
      </c>
      <c r="J22" s="10">
        <v>0</v>
      </c>
      <c r="K22" s="10">
        <v>5</v>
      </c>
      <c r="L22" s="10">
        <v>3.5</v>
      </c>
      <c r="M22" s="10">
        <v>16.3</v>
      </c>
      <c r="N22" s="10">
        <v>0.2</v>
      </c>
    </row>
    <row r="23" spans="2:15" ht="25.5">
      <c r="B23" s="4" t="s">
        <v>96</v>
      </c>
      <c r="C23" s="2">
        <v>200</v>
      </c>
      <c r="D23" s="10">
        <v>2.6</v>
      </c>
      <c r="E23" s="10">
        <v>1.9</v>
      </c>
      <c r="F23" s="10">
        <v>22.9</v>
      </c>
      <c r="G23" s="9">
        <v>69</v>
      </c>
      <c r="H23" s="10">
        <v>0.02</v>
      </c>
      <c r="I23" s="10">
        <v>0.01</v>
      </c>
      <c r="J23" s="10">
        <v>0.44</v>
      </c>
      <c r="K23" s="10">
        <v>13.4</v>
      </c>
      <c r="L23" s="10">
        <v>8.9</v>
      </c>
      <c r="M23" s="10">
        <v>14.8</v>
      </c>
      <c r="N23" s="10">
        <v>0.11</v>
      </c>
      <c r="O23" s="13"/>
    </row>
    <row r="24" spans="2:14" ht="12.75">
      <c r="B24" s="4"/>
      <c r="C24" s="2"/>
      <c r="D24" s="8"/>
      <c r="E24" s="8"/>
      <c r="F24" s="8"/>
      <c r="G24" s="9"/>
      <c r="H24" s="8"/>
      <c r="I24" s="8"/>
      <c r="J24" s="8"/>
      <c r="K24" s="8"/>
      <c r="L24" s="8"/>
      <c r="M24" s="8"/>
      <c r="N24" s="8"/>
    </row>
    <row r="25" spans="2:14" ht="12.75">
      <c r="B25" s="17" t="s">
        <v>31</v>
      </c>
      <c r="C25" s="2"/>
      <c r="D25" s="7">
        <f>SUM(D20:D23)</f>
        <v>22.6</v>
      </c>
      <c r="E25" s="7">
        <f>SUM(E20:E23)</f>
        <v>23.049999999999997</v>
      </c>
      <c r="F25" s="7">
        <f>SUM(F20:F23)</f>
        <v>109.80000000000001</v>
      </c>
      <c r="G25" s="7">
        <f>SUM(G20:G23)</f>
        <v>666.8</v>
      </c>
      <c r="H25" s="7">
        <f aca="true" t="shared" si="0" ref="H25:N25">SUM(H20:H23)</f>
        <v>0.15</v>
      </c>
      <c r="I25" s="7">
        <f t="shared" si="0"/>
        <v>0.17</v>
      </c>
      <c r="J25" s="7">
        <f t="shared" si="0"/>
        <v>1.74</v>
      </c>
      <c r="K25" s="7">
        <f t="shared" si="0"/>
        <v>170.10000000000002</v>
      </c>
      <c r="L25" s="7">
        <f t="shared" si="0"/>
        <v>56.9</v>
      </c>
      <c r="M25" s="7">
        <f t="shared" si="0"/>
        <v>281.90000000000003</v>
      </c>
      <c r="N25" s="7">
        <f t="shared" si="0"/>
        <v>3.71</v>
      </c>
    </row>
    <row r="26" spans="2:14" ht="12.75">
      <c r="B26" s="15" t="s">
        <v>74</v>
      </c>
      <c r="C26" s="2"/>
      <c r="D26" s="12"/>
      <c r="E26" s="12"/>
      <c r="F26" s="12"/>
      <c r="G26" s="2"/>
      <c r="H26" s="12"/>
      <c r="I26" s="12"/>
      <c r="J26" s="12"/>
      <c r="K26" s="12"/>
      <c r="L26" s="12"/>
      <c r="M26" s="12"/>
      <c r="N26" s="12"/>
    </row>
    <row r="27" spans="2:14" ht="25.5">
      <c r="B27" s="6" t="s">
        <v>121</v>
      </c>
      <c r="C27" s="7">
        <v>250</v>
      </c>
      <c r="D27" s="10">
        <v>2.7</v>
      </c>
      <c r="E27" s="10">
        <v>3.4</v>
      </c>
      <c r="F27" s="10">
        <v>23.8</v>
      </c>
      <c r="G27" s="10">
        <v>124.7</v>
      </c>
      <c r="H27" s="10">
        <v>0.9</v>
      </c>
      <c r="I27" s="10">
        <v>0.1</v>
      </c>
      <c r="J27" s="10">
        <v>1.65</v>
      </c>
      <c r="K27" s="10">
        <v>19.5</v>
      </c>
      <c r="L27" s="10">
        <v>31.8</v>
      </c>
      <c r="M27" s="10">
        <v>58</v>
      </c>
      <c r="N27" s="10">
        <v>1.2</v>
      </c>
    </row>
    <row r="28" spans="2:14" ht="25.5">
      <c r="B28" s="6" t="s">
        <v>122</v>
      </c>
      <c r="C28" s="7">
        <v>150</v>
      </c>
      <c r="D28" s="10">
        <v>17.5</v>
      </c>
      <c r="E28" s="10">
        <v>6.75</v>
      </c>
      <c r="F28" s="10">
        <v>8</v>
      </c>
      <c r="G28" s="10">
        <v>159.1</v>
      </c>
      <c r="H28" s="10">
        <v>3.26</v>
      </c>
      <c r="I28" s="10">
        <v>0.07</v>
      </c>
      <c r="J28" s="10">
        <v>6.85</v>
      </c>
      <c r="K28" s="10">
        <v>67.51</v>
      </c>
      <c r="L28" s="10">
        <v>57.1</v>
      </c>
      <c r="M28" s="10">
        <v>3.4</v>
      </c>
      <c r="N28" s="10">
        <v>36.15</v>
      </c>
    </row>
    <row r="29" spans="2:14" ht="12.75">
      <c r="B29" s="6" t="s">
        <v>60</v>
      </c>
      <c r="C29" s="7">
        <v>150</v>
      </c>
      <c r="D29" s="10">
        <v>3.2</v>
      </c>
      <c r="E29" s="10">
        <v>5.2</v>
      </c>
      <c r="F29" s="10">
        <v>26.4</v>
      </c>
      <c r="G29" s="10">
        <v>158.7</v>
      </c>
      <c r="H29" s="10">
        <v>0.04</v>
      </c>
      <c r="I29" s="10">
        <v>0.15</v>
      </c>
      <c r="J29" s="10">
        <v>25.8</v>
      </c>
      <c r="K29" s="10">
        <v>40.4</v>
      </c>
      <c r="L29" s="10">
        <v>33.6</v>
      </c>
      <c r="M29" s="10">
        <v>1.2</v>
      </c>
      <c r="N29" s="10">
        <v>97.9</v>
      </c>
    </row>
    <row r="30" spans="2:14" ht="25.5">
      <c r="B30" s="6" t="s">
        <v>30</v>
      </c>
      <c r="C30" s="7">
        <v>25</v>
      </c>
      <c r="D30" s="10">
        <v>2.02</v>
      </c>
      <c r="E30" s="10">
        <v>0.37</v>
      </c>
      <c r="F30" s="10">
        <v>13.2</v>
      </c>
      <c r="G30" s="10">
        <v>64.5</v>
      </c>
      <c r="H30" s="10">
        <v>0</v>
      </c>
      <c r="I30" s="10">
        <v>0.11</v>
      </c>
      <c r="J30" s="10">
        <v>0</v>
      </c>
      <c r="K30" s="10">
        <v>0</v>
      </c>
      <c r="L30" s="10">
        <v>0</v>
      </c>
      <c r="M30" s="10">
        <v>0</v>
      </c>
      <c r="N30" s="10">
        <v>0.5</v>
      </c>
    </row>
    <row r="31" spans="2:14" ht="12.75">
      <c r="B31" s="6" t="s">
        <v>99</v>
      </c>
      <c r="C31" s="7">
        <v>200</v>
      </c>
      <c r="D31" s="10">
        <v>0</v>
      </c>
      <c r="E31" s="10">
        <v>0</v>
      </c>
      <c r="F31" s="10">
        <v>9.9</v>
      </c>
      <c r="G31" s="10">
        <v>37.4</v>
      </c>
      <c r="H31" s="10">
        <v>0</v>
      </c>
      <c r="I31" s="10">
        <v>0</v>
      </c>
      <c r="J31" s="10">
        <v>0</v>
      </c>
      <c r="K31" s="10">
        <v>0.2</v>
      </c>
      <c r="L31" s="10">
        <v>0</v>
      </c>
      <c r="M31" s="10">
        <v>0.3</v>
      </c>
      <c r="N31" s="10">
        <v>0</v>
      </c>
    </row>
    <row r="32" spans="2:14" ht="12.75">
      <c r="B32" s="6" t="s">
        <v>108</v>
      </c>
      <c r="C32" s="7">
        <v>30</v>
      </c>
      <c r="D32" s="10">
        <f>3.75*30/50</f>
        <v>2.25</v>
      </c>
      <c r="E32" s="10">
        <f>5.9*30/50</f>
        <v>3.54</v>
      </c>
      <c r="F32" s="10">
        <f>36.5*30/50</f>
        <v>21.9</v>
      </c>
      <c r="G32" s="10">
        <f>218*30/50</f>
        <v>130.8</v>
      </c>
      <c r="H32" s="10">
        <v>0</v>
      </c>
      <c r="I32" s="10">
        <f>0.04*30/50</f>
        <v>0.024</v>
      </c>
      <c r="J32" s="10">
        <v>0</v>
      </c>
      <c r="K32" s="10">
        <f>14.5*30/50</f>
        <v>8.7</v>
      </c>
      <c r="L32" s="10">
        <f>10*30/50</f>
        <v>6</v>
      </c>
      <c r="M32" s="10">
        <f>45*30/50</f>
        <v>27</v>
      </c>
      <c r="N32" s="10">
        <f>1.05*30/50</f>
        <v>0.63</v>
      </c>
    </row>
    <row r="33" spans="2:14" ht="12.75">
      <c r="B33" s="6"/>
      <c r="C33" s="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12.75">
      <c r="B34" s="16" t="s">
        <v>31</v>
      </c>
      <c r="C34" s="7"/>
      <c r="D34" s="7">
        <f aca="true" t="shared" si="1" ref="D34:N34">SUM(D27:D31)</f>
        <v>25.419999999999998</v>
      </c>
      <c r="E34" s="7">
        <f t="shared" si="1"/>
        <v>15.72</v>
      </c>
      <c r="F34" s="7">
        <f t="shared" si="1"/>
        <v>81.30000000000001</v>
      </c>
      <c r="G34" s="10">
        <f>SUM(G27:G32)</f>
        <v>675.2</v>
      </c>
      <c r="H34" s="7">
        <f>SUM(H27:H32)</f>
        <v>4.2</v>
      </c>
      <c r="I34" s="7">
        <f t="shared" si="1"/>
        <v>0.43</v>
      </c>
      <c r="J34" s="7">
        <f>SUM(J27:J32)</f>
        <v>34.3</v>
      </c>
      <c r="K34" s="7">
        <f t="shared" si="1"/>
        <v>127.61</v>
      </c>
      <c r="L34" s="7">
        <f t="shared" si="1"/>
        <v>122.5</v>
      </c>
      <c r="M34" s="7">
        <f t="shared" si="1"/>
        <v>62.9</v>
      </c>
      <c r="N34" s="7">
        <f t="shared" si="1"/>
        <v>135.75</v>
      </c>
    </row>
    <row r="35" spans="2:14" ht="12.75">
      <c r="B35" s="16" t="s">
        <v>75</v>
      </c>
      <c r="C35" s="7"/>
      <c r="D35" s="7">
        <f>D25+D34</f>
        <v>48.019999999999996</v>
      </c>
      <c r="E35" s="7">
        <f>E25+E34</f>
        <v>38.769999999999996</v>
      </c>
      <c r="F35" s="7">
        <f>F25+F34</f>
        <v>191.10000000000002</v>
      </c>
      <c r="G35" s="7">
        <f aca="true" t="shared" si="2" ref="G35:N35">G25+G34</f>
        <v>1342</v>
      </c>
      <c r="H35" s="7">
        <f t="shared" si="2"/>
        <v>4.3500000000000005</v>
      </c>
      <c r="I35" s="7">
        <f t="shared" si="2"/>
        <v>0.6</v>
      </c>
      <c r="J35" s="7">
        <f t="shared" si="2"/>
        <v>36.04</v>
      </c>
      <c r="K35" s="7">
        <f t="shared" si="2"/>
        <v>297.71000000000004</v>
      </c>
      <c r="L35" s="7">
        <f t="shared" si="2"/>
        <v>179.4</v>
      </c>
      <c r="M35" s="7">
        <f t="shared" si="2"/>
        <v>344.8</v>
      </c>
      <c r="N35" s="7">
        <f t="shared" si="2"/>
        <v>139.46</v>
      </c>
    </row>
    <row r="36" spans="2:14" ht="12.75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</sheetData>
  <sheetProtection/>
  <mergeCells count="17">
    <mergeCell ref="D17:F17"/>
    <mergeCell ref="B17:B18"/>
    <mergeCell ref="C17:C18"/>
    <mergeCell ref="G17:G18"/>
    <mergeCell ref="D9:J11"/>
    <mergeCell ref="K17:N17"/>
    <mergeCell ref="B3:G3"/>
    <mergeCell ref="B4:G4"/>
    <mergeCell ref="B5:G5"/>
    <mergeCell ref="B6:G6"/>
    <mergeCell ref="B7:F7"/>
    <mergeCell ref="I4:M4"/>
    <mergeCell ref="I7:M7"/>
    <mergeCell ref="K13:M13"/>
    <mergeCell ref="K14:M14"/>
    <mergeCell ref="K15:M15"/>
    <mergeCell ref="H17:J17"/>
  </mergeCells>
  <printOptions/>
  <pageMargins left="0.87" right="0.29" top="0.26" bottom="0.3" header="0.28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3:N37"/>
  <sheetViews>
    <sheetView zoomScalePageLayoutView="0" workbookViewId="0" topLeftCell="B1">
      <selection activeCell="K15" sqref="K15:M15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1"/>
      <c r="J3" s="1"/>
      <c r="K3" s="1"/>
      <c r="L3" s="1"/>
      <c r="M3" s="1"/>
    </row>
    <row r="4" spans="2:13" ht="12.75"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</row>
    <row r="5" spans="2:7" ht="12.75">
      <c r="B5" s="20"/>
      <c r="C5" s="20"/>
      <c r="D5" s="20"/>
      <c r="E5" s="20"/>
      <c r="F5" s="20"/>
      <c r="G5" s="20"/>
    </row>
    <row r="6" spans="2:7" ht="12.75">
      <c r="B6" s="20"/>
      <c r="C6" s="20"/>
      <c r="D6" s="20"/>
      <c r="E6" s="20"/>
      <c r="F6" s="20"/>
      <c r="G6" s="20"/>
    </row>
    <row r="7" spans="2:13" ht="12.75">
      <c r="B7" s="20"/>
      <c r="C7" s="20"/>
      <c r="D7" s="20"/>
      <c r="E7" s="20"/>
      <c r="F7" s="20"/>
      <c r="I7" s="20"/>
      <c r="J7" s="20"/>
      <c r="K7" s="20"/>
      <c r="L7" s="20"/>
      <c r="M7" s="20"/>
    </row>
    <row r="9" spans="4:10" ht="12.75">
      <c r="D9" s="26" t="s">
        <v>76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1" spans="4:10" ht="12.75">
      <c r="D11" s="26"/>
      <c r="E11" s="26"/>
      <c r="F11" s="26"/>
      <c r="G11" s="26"/>
      <c r="H11" s="26"/>
      <c r="I11" s="26"/>
      <c r="J11" s="26"/>
    </row>
    <row r="13" spans="11:13" ht="12.75">
      <c r="K13" s="27" t="s">
        <v>58</v>
      </c>
      <c r="L13" s="27"/>
      <c r="M13" s="27"/>
    </row>
    <row r="14" spans="11:13" ht="12.75">
      <c r="K14" s="20" t="s">
        <v>11</v>
      </c>
      <c r="L14" s="20"/>
      <c r="M14" s="20"/>
    </row>
    <row r="15" spans="11:13" ht="12.75">
      <c r="K15" s="27" t="s">
        <v>72</v>
      </c>
      <c r="L15" s="27"/>
      <c r="M15" s="27"/>
    </row>
    <row r="17" spans="2:14" ht="25.5" customHeight="1">
      <c r="B17" s="24" t="s">
        <v>12</v>
      </c>
      <c r="C17" s="24" t="s">
        <v>13</v>
      </c>
      <c r="D17" s="21" t="s">
        <v>14</v>
      </c>
      <c r="E17" s="22"/>
      <c r="F17" s="23"/>
      <c r="G17" s="24" t="s">
        <v>15</v>
      </c>
      <c r="H17" s="21" t="s">
        <v>16</v>
      </c>
      <c r="I17" s="22"/>
      <c r="J17" s="23"/>
      <c r="K17" s="21" t="s">
        <v>17</v>
      </c>
      <c r="L17" s="22"/>
      <c r="M17" s="22"/>
      <c r="N17" s="23"/>
    </row>
    <row r="18" spans="2:14" ht="12.75">
      <c r="B18" s="25"/>
      <c r="C18" s="25"/>
      <c r="D18" s="3" t="s">
        <v>131</v>
      </c>
      <c r="E18" s="3" t="s">
        <v>132</v>
      </c>
      <c r="F18" s="3" t="s">
        <v>133</v>
      </c>
      <c r="G18" s="25"/>
      <c r="H18" s="3" t="s">
        <v>21</v>
      </c>
      <c r="I18" s="3" t="s">
        <v>22</v>
      </c>
      <c r="J18" s="3" t="s">
        <v>23</v>
      </c>
      <c r="K18" s="3" t="s">
        <v>24</v>
      </c>
      <c r="L18" s="3" t="s">
        <v>25</v>
      </c>
      <c r="M18" s="3" t="s">
        <v>26</v>
      </c>
      <c r="N18" s="3" t="s">
        <v>27</v>
      </c>
    </row>
    <row r="19" spans="2:14" ht="12.75">
      <c r="B19" s="15" t="s">
        <v>73</v>
      </c>
      <c r="C19" s="2"/>
      <c r="D19" s="11"/>
      <c r="E19" s="11"/>
      <c r="F19" s="11"/>
      <c r="G19" s="9"/>
      <c r="H19" s="11"/>
      <c r="I19" s="11"/>
      <c r="J19" s="11"/>
      <c r="K19" s="11"/>
      <c r="L19" s="11"/>
      <c r="M19" s="11"/>
      <c r="N19" s="11"/>
    </row>
    <row r="20" spans="2:14" ht="12.75">
      <c r="B20" s="4" t="s">
        <v>124</v>
      </c>
      <c r="C20" s="2" t="s">
        <v>48</v>
      </c>
      <c r="D20" s="5">
        <v>6.5</v>
      </c>
      <c r="E20" s="5">
        <v>7.4</v>
      </c>
      <c r="F20" s="5">
        <v>33.9</v>
      </c>
      <c r="G20" s="2">
        <v>220.12</v>
      </c>
      <c r="H20" s="5">
        <v>0.09</v>
      </c>
      <c r="I20" s="5">
        <v>0.2</v>
      </c>
      <c r="J20" s="5">
        <v>0.75</v>
      </c>
      <c r="K20" s="5">
        <v>97.1</v>
      </c>
      <c r="L20" s="5">
        <v>50.9</v>
      </c>
      <c r="M20" s="5">
        <v>159.2</v>
      </c>
      <c r="N20" s="5">
        <v>2.7</v>
      </c>
    </row>
    <row r="21" spans="2:14" ht="12.75">
      <c r="B21" s="4" t="s">
        <v>62</v>
      </c>
      <c r="C21" s="2">
        <v>25</v>
      </c>
      <c r="D21" s="5">
        <v>1.9</v>
      </c>
      <c r="E21" s="5">
        <v>0.15</v>
      </c>
      <c r="F21" s="5">
        <v>13</v>
      </c>
      <c r="G21" s="2">
        <v>58</v>
      </c>
      <c r="H21" s="5">
        <v>0</v>
      </c>
      <c r="I21" s="5">
        <v>0.11</v>
      </c>
      <c r="J21" s="5">
        <v>0</v>
      </c>
      <c r="K21" s="5">
        <v>5</v>
      </c>
      <c r="L21" s="5">
        <v>3.5</v>
      </c>
      <c r="M21" s="5">
        <v>16.3</v>
      </c>
      <c r="N21" s="5">
        <v>0.2</v>
      </c>
    </row>
    <row r="22" spans="2:14" ht="12.75">
      <c r="B22" s="6" t="s">
        <v>92</v>
      </c>
      <c r="C22" s="7">
        <v>200</v>
      </c>
      <c r="D22" s="10">
        <v>1.7</v>
      </c>
      <c r="E22" s="10">
        <v>1.5</v>
      </c>
      <c r="F22" s="10">
        <v>17.4</v>
      </c>
      <c r="G22" s="10">
        <v>85.7</v>
      </c>
      <c r="H22" s="10">
        <v>0.02</v>
      </c>
      <c r="I22" s="10">
        <v>0.01</v>
      </c>
      <c r="J22" s="10">
        <v>0.2</v>
      </c>
      <c r="K22" s="10">
        <v>55.1</v>
      </c>
      <c r="L22" s="10">
        <v>8.3</v>
      </c>
      <c r="M22" s="10">
        <v>47.4</v>
      </c>
      <c r="N22" s="10">
        <v>0.07</v>
      </c>
    </row>
    <row r="23" spans="2:14" ht="12.75">
      <c r="B23" s="4" t="s">
        <v>88</v>
      </c>
      <c r="C23" s="2">
        <v>15</v>
      </c>
      <c r="D23" s="10">
        <v>0.12</v>
      </c>
      <c r="E23" s="10">
        <v>10.88</v>
      </c>
      <c r="F23" s="10">
        <v>0.2</v>
      </c>
      <c r="G23" s="9">
        <v>99.15</v>
      </c>
      <c r="H23" s="10">
        <v>0.06</v>
      </c>
      <c r="I23" s="10">
        <v>0</v>
      </c>
      <c r="J23" s="10">
        <v>0</v>
      </c>
      <c r="K23" s="10">
        <v>3.6</v>
      </c>
      <c r="L23" s="10">
        <v>0.08</v>
      </c>
      <c r="M23" s="10">
        <v>4.5</v>
      </c>
      <c r="N23" s="10">
        <v>0.03</v>
      </c>
    </row>
    <row r="24" spans="2:14" ht="12.75">
      <c r="B24" s="4" t="s">
        <v>43</v>
      </c>
      <c r="C24" s="2">
        <v>20</v>
      </c>
      <c r="D24" s="10">
        <v>5.3</v>
      </c>
      <c r="E24" s="10">
        <v>5.46</v>
      </c>
      <c r="F24" s="10">
        <v>0</v>
      </c>
      <c r="G24" s="9">
        <v>72.2</v>
      </c>
      <c r="H24" s="10">
        <v>0.05</v>
      </c>
      <c r="I24" s="10">
        <v>0</v>
      </c>
      <c r="J24" s="10">
        <v>0.3</v>
      </c>
      <c r="K24" s="10">
        <v>200</v>
      </c>
      <c r="L24" s="10">
        <v>9.4</v>
      </c>
      <c r="M24" s="10">
        <v>108.8</v>
      </c>
      <c r="N24" s="10">
        <v>0.13</v>
      </c>
    </row>
    <row r="25" spans="2:14" ht="12.75">
      <c r="B25" s="4" t="s">
        <v>108</v>
      </c>
      <c r="C25" s="2">
        <v>40</v>
      </c>
      <c r="D25" s="10">
        <f>2.08*2</f>
        <v>4.16</v>
      </c>
      <c r="E25" s="10">
        <v>2.08</v>
      </c>
      <c r="F25" s="10">
        <f>15.36*2</f>
        <v>30.72</v>
      </c>
      <c r="G25" s="9">
        <f>75.2*2</f>
        <v>150.4</v>
      </c>
      <c r="H25" s="10">
        <v>0</v>
      </c>
      <c r="I25" s="10">
        <v>0.04</v>
      </c>
      <c r="J25" s="10">
        <v>0</v>
      </c>
      <c r="K25" s="10">
        <f>8.6*2</f>
        <v>17.2</v>
      </c>
      <c r="L25" s="10">
        <v>8.8</v>
      </c>
      <c r="M25" s="10">
        <v>48.8</v>
      </c>
      <c r="N25" s="10">
        <f>0.36*2</f>
        <v>0.72</v>
      </c>
    </row>
    <row r="26" spans="2:14" ht="12.75">
      <c r="B26" s="4"/>
      <c r="C26" s="2"/>
      <c r="D26" s="8"/>
      <c r="E26" s="8"/>
      <c r="F26" s="8"/>
      <c r="G26" s="9"/>
      <c r="H26" s="8"/>
      <c r="I26" s="8"/>
      <c r="J26" s="8"/>
      <c r="K26" s="8"/>
      <c r="L26" s="8"/>
      <c r="M26" s="8"/>
      <c r="N26" s="8"/>
    </row>
    <row r="27" spans="2:14" ht="12.75">
      <c r="B27" s="17" t="s">
        <v>31</v>
      </c>
      <c r="C27" s="2"/>
      <c r="D27" s="7">
        <f>SUM(D20:D22)</f>
        <v>10.1</v>
      </c>
      <c r="E27" s="7">
        <f>SUM(E20:E22)</f>
        <v>9.05</v>
      </c>
      <c r="F27" s="7">
        <f>SUM(F20:F22)</f>
        <v>64.3</v>
      </c>
      <c r="G27" s="7">
        <f>SUM(G20:G25)</f>
        <v>685.57</v>
      </c>
      <c r="H27" s="7">
        <f aca="true" t="shared" si="0" ref="H27:N27">SUM(H20:H22)</f>
        <v>0.11</v>
      </c>
      <c r="I27" s="7">
        <f t="shared" si="0"/>
        <v>0.32</v>
      </c>
      <c r="J27" s="7">
        <f t="shared" si="0"/>
        <v>0.95</v>
      </c>
      <c r="K27" s="7">
        <f t="shared" si="0"/>
        <v>157.2</v>
      </c>
      <c r="L27" s="7">
        <f t="shared" si="0"/>
        <v>62.7</v>
      </c>
      <c r="M27" s="7">
        <f t="shared" si="0"/>
        <v>222.9</v>
      </c>
      <c r="N27" s="7">
        <f t="shared" si="0"/>
        <v>2.97</v>
      </c>
    </row>
    <row r="28" spans="2:14" ht="12.75">
      <c r="B28" s="15" t="s">
        <v>74</v>
      </c>
      <c r="C28" s="2"/>
      <c r="D28" s="12"/>
      <c r="E28" s="12"/>
      <c r="F28" s="12"/>
      <c r="G28" s="2"/>
      <c r="H28" s="12"/>
      <c r="I28" s="12"/>
      <c r="J28" s="12"/>
      <c r="K28" s="12"/>
      <c r="L28" s="12"/>
      <c r="M28" s="12"/>
      <c r="N28" s="12"/>
    </row>
    <row r="29" spans="2:14" ht="12.75">
      <c r="B29" s="6" t="s">
        <v>100</v>
      </c>
      <c r="C29" s="7">
        <v>250</v>
      </c>
      <c r="D29" s="10">
        <v>2</v>
      </c>
      <c r="E29" s="10">
        <v>5</v>
      </c>
      <c r="F29" s="10">
        <v>14.65</v>
      </c>
      <c r="G29" s="10">
        <v>109.2</v>
      </c>
      <c r="H29" s="10">
        <v>0</v>
      </c>
      <c r="I29" s="10">
        <v>0</v>
      </c>
      <c r="J29" s="10">
        <v>24.8</v>
      </c>
      <c r="K29" s="10">
        <v>40.7</v>
      </c>
      <c r="L29" s="10">
        <v>28.6</v>
      </c>
      <c r="M29" s="10">
        <v>51.6</v>
      </c>
      <c r="N29" s="10">
        <v>1.4</v>
      </c>
    </row>
    <row r="30" spans="2:14" ht="25.5">
      <c r="B30" s="6" t="s">
        <v>97</v>
      </c>
      <c r="C30" s="7" t="s">
        <v>98</v>
      </c>
      <c r="D30" s="10">
        <v>36.8</v>
      </c>
      <c r="E30" s="10">
        <v>18.66</v>
      </c>
      <c r="F30" s="10">
        <v>67.2</v>
      </c>
      <c r="G30" s="10">
        <v>339.94</v>
      </c>
      <c r="H30" s="10">
        <v>0.1</v>
      </c>
      <c r="I30" s="10">
        <v>2.45</v>
      </c>
      <c r="J30" s="10">
        <v>0.1</v>
      </c>
      <c r="K30" s="10">
        <v>29.33</v>
      </c>
      <c r="L30" s="10">
        <v>43.09</v>
      </c>
      <c r="M30" s="10">
        <v>350.5</v>
      </c>
      <c r="N30" s="10">
        <v>4.69</v>
      </c>
    </row>
    <row r="31" spans="2:14" ht="12.75">
      <c r="B31" s="6" t="s">
        <v>65</v>
      </c>
      <c r="C31" s="7">
        <v>150</v>
      </c>
      <c r="D31" s="10">
        <v>16.58</v>
      </c>
      <c r="E31" s="10">
        <v>5.5</v>
      </c>
      <c r="F31" s="10">
        <v>41.5</v>
      </c>
      <c r="G31" s="10">
        <v>251.5</v>
      </c>
      <c r="H31" s="10">
        <v>0</v>
      </c>
      <c r="I31" s="10">
        <v>0.65</v>
      </c>
      <c r="J31" s="10">
        <v>0</v>
      </c>
      <c r="K31" s="10">
        <v>65.75</v>
      </c>
      <c r="L31" s="10">
        <v>64</v>
      </c>
      <c r="M31" s="10">
        <v>163.66</v>
      </c>
      <c r="N31" s="10">
        <v>5</v>
      </c>
    </row>
    <row r="32" spans="2:14" ht="12.75">
      <c r="B32" s="4" t="s">
        <v>62</v>
      </c>
      <c r="C32" s="2">
        <v>25</v>
      </c>
      <c r="D32" s="5">
        <v>1.9</v>
      </c>
      <c r="E32" s="5">
        <v>0.15</v>
      </c>
      <c r="F32" s="5">
        <v>13</v>
      </c>
      <c r="G32" s="2">
        <v>58</v>
      </c>
      <c r="H32" s="5">
        <v>0</v>
      </c>
      <c r="I32" s="5">
        <v>0.11</v>
      </c>
      <c r="J32" s="5">
        <v>0</v>
      </c>
      <c r="K32" s="5">
        <v>5</v>
      </c>
      <c r="L32" s="5">
        <v>3.5</v>
      </c>
      <c r="M32" s="5">
        <v>16.3</v>
      </c>
      <c r="N32" s="5">
        <v>0.2</v>
      </c>
    </row>
    <row r="33" spans="2:14" ht="12.75">
      <c r="B33" s="6" t="s">
        <v>113</v>
      </c>
      <c r="C33" s="7">
        <v>200</v>
      </c>
      <c r="D33" s="10">
        <v>0</v>
      </c>
      <c r="E33" s="10">
        <v>0</v>
      </c>
      <c r="F33" s="10">
        <v>8.4</v>
      </c>
      <c r="G33" s="10">
        <v>33</v>
      </c>
      <c r="H33" s="10">
        <v>0.5</v>
      </c>
      <c r="I33" s="10">
        <v>0.49</v>
      </c>
      <c r="J33" s="10">
        <v>30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6"/>
      <c r="C34" s="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ht="12.75">
      <c r="B35" s="16" t="s">
        <v>31</v>
      </c>
      <c r="C35" s="7"/>
      <c r="D35" s="7">
        <f aca="true" t="shared" si="1" ref="D35:N35">SUM(D29:D33)</f>
        <v>57.279999999999994</v>
      </c>
      <c r="E35" s="7">
        <f t="shared" si="1"/>
        <v>29.31</v>
      </c>
      <c r="F35" s="7">
        <f t="shared" si="1"/>
        <v>144.75000000000003</v>
      </c>
      <c r="G35" s="7">
        <f t="shared" si="1"/>
        <v>791.64</v>
      </c>
      <c r="H35" s="7">
        <f t="shared" si="1"/>
        <v>0.6</v>
      </c>
      <c r="I35" s="7">
        <f t="shared" si="1"/>
        <v>3.7</v>
      </c>
      <c r="J35" s="7">
        <f t="shared" si="1"/>
        <v>54.900000000000006</v>
      </c>
      <c r="K35" s="7">
        <f t="shared" si="1"/>
        <v>140.78</v>
      </c>
      <c r="L35" s="7">
        <f t="shared" si="1"/>
        <v>139.19</v>
      </c>
      <c r="M35" s="7">
        <f t="shared" si="1"/>
        <v>582.06</v>
      </c>
      <c r="N35" s="7">
        <f t="shared" si="1"/>
        <v>11.29</v>
      </c>
    </row>
    <row r="36" spans="2:14" ht="12.75">
      <c r="B36" s="16" t="s">
        <v>75</v>
      </c>
      <c r="C36" s="7"/>
      <c r="D36" s="7">
        <f aca="true" t="shared" si="2" ref="D36:N36">D27+D35</f>
        <v>67.38</v>
      </c>
      <c r="E36" s="7">
        <f t="shared" si="2"/>
        <v>38.36</v>
      </c>
      <c r="F36" s="7">
        <f t="shared" si="2"/>
        <v>209.05</v>
      </c>
      <c r="G36" s="7">
        <f t="shared" si="2"/>
        <v>1477.21</v>
      </c>
      <c r="H36" s="7">
        <f t="shared" si="2"/>
        <v>0.71</v>
      </c>
      <c r="I36" s="7">
        <f t="shared" si="2"/>
        <v>4.0200000000000005</v>
      </c>
      <c r="J36" s="7">
        <f t="shared" si="2"/>
        <v>55.85000000000001</v>
      </c>
      <c r="K36" s="7">
        <f t="shared" si="2"/>
        <v>297.98</v>
      </c>
      <c r="L36" s="7">
        <f t="shared" si="2"/>
        <v>201.89</v>
      </c>
      <c r="M36" s="7">
        <f t="shared" si="2"/>
        <v>804.9599999999999</v>
      </c>
      <c r="N36" s="7">
        <f t="shared" si="2"/>
        <v>14.26</v>
      </c>
    </row>
    <row r="37" spans="2:14" ht="12.75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</sheetData>
  <sheetProtection/>
  <mergeCells count="17">
    <mergeCell ref="I4:M4"/>
    <mergeCell ref="I7:M7"/>
    <mergeCell ref="K13:M13"/>
    <mergeCell ref="K14:M14"/>
    <mergeCell ref="K15:M15"/>
    <mergeCell ref="H17:J17"/>
    <mergeCell ref="B17:B18"/>
    <mergeCell ref="C17:C18"/>
    <mergeCell ref="G17:G18"/>
    <mergeCell ref="D9:J11"/>
    <mergeCell ref="K17:N17"/>
    <mergeCell ref="B3:G3"/>
    <mergeCell ref="B4:G4"/>
    <mergeCell ref="B5:G5"/>
    <mergeCell ref="B6:G6"/>
    <mergeCell ref="B7:F7"/>
    <mergeCell ref="D17:F17"/>
  </mergeCells>
  <printOptions/>
  <pageMargins left="0.87" right="0.29" top="0.26" bottom="0.7" header="0.28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3:N36"/>
  <sheetViews>
    <sheetView zoomScalePageLayoutView="0" workbookViewId="0" topLeftCell="B1">
      <selection activeCell="D9" sqref="D9:J11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1"/>
      <c r="J3" s="1"/>
      <c r="K3" s="1"/>
      <c r="L3" s="1"/>
      <c r="M3" s="1"/>
    </row>
    <row r="4" spans="2:13" ht="12.75"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</row>
    <row r="5" spans="2:7" ht="12.75">
      <c r="B5" s="20"/>
      <c r="C5" s="20"/>
      <c r="D5" s="20"/>
      <c r="E5" s="20"/>
      <c r="F5" s="20"/>
      <c r="G5" s="20"/>
    </row>
    <row r="6" spans="2:7" ht="12.75">
      <c r="B6" s="20"/>
      <c r="C6" s="20"/>
      <c r="D6" s="20"/>
      <c r="E6" s="20"/>
      <c r="F6" s="20"/>
      <c r="G6" s="20"/>
    </row>
    <row r="7" spans="2:13" ht="12.75">
      <c r="B7" s="20"/>
      <c r="C7" s="20"/>
      <c r="D7" s="20"/>
      <c r="E7" s="20"/>
      <c r="F7" s="20"/>
      <c r="I7" s="20"/>
      <c r="J7" s="20"/>
      <c r="K7" s="20"/>
      <c r="L7" s="20"/>
      <c r="M7" s="20"/>
    </row>
    <row r="9" spans="4:10" ht="12.75">
      <c r="D9" s="26" t="s">
        <v>76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1" spans="4:10" ht="12.75">
      <c r="D11" s="26"/>
      <c r="E11" s="26"/>
      <c r="F11" s="26"/>
      <c r="G11" s="26"/>
      <c r="H11" s="26"/>
      <c r="I11" s="26"/>
      <c r="J11" s="26"/>
    </row>
    <row r="13" spans="11:13" ht="12.75">
      <c r="K13" s="27" t="s">
        <v>63</v>
      </c>
      <c r="L13" s="27"/>
      <c r="M13" s="27"/>
    </row>
    <row r="14" spans="11:13" ht="12.75">
      <c r="K14" s="20" t="s">
        <v>11</v>
      </c>
      <c r="L14" s="20"/>
      <c r="M14" s="20"/>
    </row>
    <row r="15" spans="11:13" ht="12.75">
      <c r="K15" s="27" t="s">
        <v>72</v>
      </c>
      <c r="L15" s="27"/>
      <c r="M15" s="27"/>
    </row>
    <row r="17" spans="2:14" ht="25.5" customHeight="1">
      <c r="B17" s="24" t="s">
        <v>12</v>
      </c>
      <c r="C17" s="24" t="s">
        <v>13</v>
      </c>
      <c r="D17" s="21" t="s">
        <v>14</v>
      </c>
      <c r="E17" s="22"/>
      <c r="F17" s="23"/>
      <c r="G17" s="24" t="s">
        <v>15</v>
      </c>
      <c r="H17" s="21" t="s">
        <v>16</v>
      </c>
      <c r="I17" s="22"/>
      <c r="J17" s="23"/>
      <c r="K17" s="21" t="s">
        <v>17</v>
      </c>
      <c r="L17" s="22"/>
      <c r="M17" s="22"/>
      <c r="N17" s="23"/>
    </row>
    <row r="18" spans="2:14" ht="12.75">
      <c r="B18" s="25"/>
      <c r="C18" s="25"/>
      <c r="D18" s="3" t="s">
        <v>131</v>
      </c>
      <c r="E18" s="3" t="s">
        <v>132</v>
      </c>
      <c r="F18" s="3" t="s">
        <v>133</v>
      </c>
      <c r="G18" s="25"/>
      <c r="H18" s="3" t="s">
        <v>21</v>
      </c>
      <c r="I18" s="3" t="s">
        <v>22</v>
      </c>
      <c r="J18" s="3" t="s">
        <v>23</v>
      </c>
      <c r="K18" s="3" t="s">
        <v>24</v>
      </c>
      <c r="L18" s="3" t="s">
        <v>25</v>
      </c>
      <c r="M18" s="3" t="s">
        <v>26</v>
      </c>
      <c r="N18" s="3" t="s">
        <v>27</v>
      </c>
    </row>
    <row r="19" spans="2:14" ht="12.75">
      <c r="B19" s="15" t="s">
        <v>73</v>
      </c>
      <c r="C19" s="2"/>
      <c r="D19" s="11"/>
      <c r="E19" s="11"/>
      <c r="F19" s="11"/>
      <c r="G19" s="9"/>
      <c r="H19" s="11"/>
      <c r="I19" s="11"/>
      <c r="J19" s="11"/>
      <c r="K19" s="11"/>
      <c r="L19" s="11"/>
      <c r="M19" s="11"/>
      <c r="N19" s="11"/>
    </row>
    <row r="20" spans="2:14" ht="25.5">
      <c r="B20" s="4" t="s">
        <v>103</v>
      </c>
      <c r="C20" s="2" t="s">
        <v>109</v>
      </c>
      <c r="D20" s="5">
        <v>6.85</v>
      </c>
      <c r="E20" s="5">
        <v>18.15</v>
      </c>
      <c r="F20" s="5">
        <v>98.19</v>
      </c>
      <c r="G20" s="2">
        <v>326.6</v>
      </c>
      <c r="H20" s="5">
        <v>0.09</v>
      </c>
      <c r="I20" s="5">
        <v>0.02</v>
      </c>
      <c r="J20" s="5">
        <v>0.1</v>
      </c>
      <c r="K20" s="5">
        <v>52.05</v>
      </c>
      <c r="L20" s="5">
        <v>26.29</v>
      </c>
      <c r="M20" s="5">
        <v>69.16</v>
      </c>
      <c r="N20" s="5">
        <v>1.33</v>
      </c>
    </row>
    <row r="21" spans="2:14" ht="25.5">
      <c r="B21" s="6" t="s">
        <v>30</v>
      </c>
      <c r="C21" s="7">
        <v>25</v>
      </c>
      <c r="D21" s="10">
        <v>2.02</v>
      </c>
      <c r="E21" s="10">
        <v>0.37</v>
      </c>
      <c r="F21" s="10">
        <v>13.2</v>
      </c>
      <c r="G21" s="10">
        <v>64.5</v>
      </c>
      <c r="H21" s="10">
        <v>0</v>
      </c>
      <c r="I21" s="10">
        <v>0.11</v>
      </c>
      <c r="J21" s="10">
        <v>0</v>
      </c>
      <c r="K21" s="10">
        <v>0</v>
      </c>
      <c r="L21" s="10">
        <v>0</v>
      </c>
      <c r="M21" s="10">
        <v>0</v>
      </c>
      <c r="N21" s="10">
        <v>0.5</v>
      </c>
    </row>
    <row r="22" spans="2:14" ht="12.75">
      <c r="B22" s="4" t="s">
        <v>40</v>
      </c>
      <c r="C22" s="2">
        <v>200</v>
      </c>
      <c r="D22" s="10">
        <v>2.6</v>
      </c>
      <c r="E22" s="10">
        <v>1.9</v>
      </c>
      <c r="F22" s="10">
        <v>22.9</v>
      </c>
      <c r="G22" s="9">
        <v>69</v>
      </c>
      <c r="H22" s="10">
        <v>0.02</v>
      </c>
      <c r="I22" s="10">
        <v>0.01</v>
      </c>
      <c r="J22" s="10">
        <v>0.44</v>
      </c>
      <c r="K22" s="10">
        <v>13.4</v>
      </c>
      <c r="L22" s="10">
        <v>8.9</v>
      </c>
      <c r="M22" s="10">
        <v>14.8</v>
      </c>
      <c r="N22" s="10">
        <v>0.11</v>
      </c>
    </row>
    <row r="23" spans="2:14" ht="12.75">
      <c r="B23" s="6" t="s">
        <v>108</v>
      </c>
      <c r="C23" s="7">
        <v>30</v>
      </c>
      <c r="D23" s="10">
        <f>3.75*30/50</f>
        <v>2.25</v>
      </c>
      <c r="E23" s="10">
        <f>5.9*30/50</f>
        <v>3.54</v>
      </c>
      <c r="F23" s="10">
        <f>36.5*30/50</f>
        <v>21.9</v>
      </c>
      <c r="G23" s="10">
        <f>218*30/50</f>
        <v>130.8</v>
      </c>
      <c r="H23" s="10">
        <v>0</v>
      </c>
      <c r="I23" s="10">
        <f>0.04*30/50</f>
        <v>0.024</v>
      </c>
      <c r="J23" s="10">
        <v>0</v>
      </c>
      <c r="K23" s="10">
        <f>14.5*30/50</f>
        <v>8.7</v>
      </c>
      <c r="L23" s="10">
        <f>10*30/50</f>
        <v>6</v>
      </c>
      <c r="M23" s="10">
        <f>45*30/50</f>
        <v>27</v>
      </c>
      <c r="N23" s="10">
        <f>1.05*30/50</f>
        <v>0.63</v>
      </c>
    </row>
    <row r="24" spans="2:14" ht="12.75">
      <c r="B24" s="4"/>
      <c r="C24" s="2"/>
      <c r="D24" s="8"/>
      <c r="E24" s="8"/>
      <c r="F24" s="8"/>
      <c r="G24" s="9"/>
      <c r="H24" s="8"/>
      <c r="I24" s="8"/>
      <c r="J24" s="8"/>
      <c r="K24" s="8"/>
      <c r="L24" s="8"/>
      <c r="M24" s="8"/>
      <c r="N24" s="8"/>
    </row>
    <row r="25" spans="2:14" ht="12.75">
      <c r="B25" s="17" t="s">
        <v>31</v>
      </c>
      <c r="C25" s="2"/>
      <c r="D25" s="7">
        <f>SUM(D20:D22)</f>
        <v>11.469999999999999</v>
      </c>
      <c r="E25" s="7">
        <f>SUM(E20:E22)</f>
        <v>20.419999999999998</v>
      </c>
      <c r="F25" s="7">
        <f>SUM(F20:F22)</f>
        <v>134.29</v>
      </c>
      <c r="G25" s="7">
        <f>SUM(G20:G23)</f>
        <v>590.9000000000001</v>
      </c>
      <c r="H25" s="7">
        <f>SUM(H20:H22)</f>
        <v>0.11</v>
      </c>
      <c r="I25" s="7">
        <f aca="true" t="shared" si="0" ref="I25:N25">SUM(I20:I22)</f>
        <v>0.14</v>
      </c>
      <c r="J25" s="7">
        <f t="shared" si="0"/>
        <v>0.54</v>
      </c>
      <c r="K25" s="7">
        <f t="shared" si="0"/>
        <v>65.45</v>
      </c>
      <c r="L25" s="7">
        <f t="shared" si="0"/>
        <v>35.19</v>
      </c>
      <c r="M25" s="7">
        <f t="shared" si="0"/>
        <v>83.96</v>
      </c>
      <c r="N25" s="7">
        <f t="shared" si="0"/>
        <v>1.9400000000000002</v>
      </c>
    </row>
    <row r="26" spans="2:14" ht="12.75">
      <c r="B26" s="15" t="s">
        <v>74</v>
      </c>
      <c r="C26" s="2"/>
      <c r="D26" s="12"/>
      <c r="E26" s="12"/>
      <c r="F26" s="12"/>
      <c r="G26" s="2"/>
      <c r="H26" s="12"/>
      <c r="I26" s="12"/>
      <c r="J26" s="12"/>
      <c r="K26" s="12"/>
      <c r="L26" s="12"/>
      <c r="M26" s="12"/>
      <c r="N26" s="12"/>
    </row>
    <row r="27" spans="2:14" ht="25.5">
      <c r="B27" s="6" t="s">
        <v>102</v>
      </c>
      <c r="C27" s="7">
        <v>250</v>
      </c>
      <c r="D27" s="10">
        <v>6</v>
      </c>
      <c r="E27" s="10">
        <v>5.4</v>
      </c>
      <c r="F27" s="10">
        <v>23.9</v>
      </c>
      <c r="G27" s="10">
        <v>159.8</v>
      </c>
      <c r="H27" s="10">
        <v>0</v>
      </c>
      <c r="I27" s="10">
        <v>0.16</v>
      </c>
      <c r="J27" s="10">
        <v>11.5</v>
      </c>
      <c r="K27" s="10">
        <v>43.2</v>
      </c>
      <c r="L27" s="10">
        <v>37.3</v>
      </c>
      <c r="M27" s="10">
        <v>148.5</v>
      </c>
      <c r="N27" s="10">
        <v>3.1</v>
      </c>
    </row>
    <row r="28" spans="2:14" ht="12.75">
      <c r="B28" s="6" t="s">
        <v>64</v>
      </c>
      <c r="C28" s="7">
        <v>80</v>
      </c>
      <c r="D28" s="10">
        <v>10.96</v>
      </c>
      <c r="E28" s="10">
        <v>18.24</v>
      </c>
      <c r="F28" s="10">
        <v>0</v>
      </c>
      <c r="G28" s="10">
        <v>208</v>
      </c>
      <c r="H28" s="10">
        <v>0</v>
      </c>
      <c r="I28" s="10">
        <v>0</v>
      </c>
      <c r="J28" s="10">
        <v>0</v>
      </c>
      <c r="K28" s="10">
        <v>23.2</v>
      </c>
      <c r="L28" s="10">
        <v>17.6</v>
      </c>
      <c r="M28" s="10">
        <v>142.4</v>
      </c>
      <c r="N28" s="10">
        <v>1.28</v>
      </c>
    </row>
    <row r="29" spans="2:14" ht="12.75">
      <c r="B29" s="6" t="s">
        <v>35</v>
      </c>
      <c r="C29" s="7">
        <v>50</v>
      </c>
      <c r="D29" s="10">
        <v>0.4</v>
      </c>
      <c r="E29" s="10">
        <v>0.81</v>
      </c>
      <c r="F29" s="10">
        <v>3.55</v>
      </c>
      <c r="G29" s="10">
        <v>22.9</v>
      </c>
      <c r="H29" s="10">
        <v>0</v>
      </c>
      <c r="I29" s="10">
        <v>0</v>
      </c>
      <c r="J29" s="10">
        <v>1.6</v>
      </c>
      <c r="K29" s="10">
        <v>3.8</v>
      </c>
      <c r="L29" s="10">
        <v>2</v>
      </c>
      <c r="M29" s="10">
        <v>8.4</v>
      </c>
      <c r="N29" s="10">
        <v>0.2</v>
      </c>
    </row>
    <row r="30" spans="2:14" ht="12.75">
      <c r="B30" s="6" t="s">
        <v>52</v>
      </c>
      <c r="C30" s="7">
        <v>150</v>
      </c>
      <c r="D30" s="10">
        <f>10.6*150/200</f>
        <v>7.95</v>
      </c>
      <c r="E30" s="10">
        <f>7.8*150/200</f>
        <v>5.85</v>
      </c>
      <c r="F30" s="10">
        <f>56.8*150/200</f>
        <v>42.6</v>
      </c>
      <c r="G30" s="10">
        <f>326.8*150/200</f>
        <v>245.1</v>
      </c>
      <c r="H30" s="10">
        <v>0</v>
      </c>
      <c r="I30" s="10">
        <f>0.04*150/200</f>
        <v>0.03</v>
      </c>
      <c r="J30" s="10">
        <v>0</v>
      </c>
      <c r="K30" s="10">
        <f>59.8*150/200</f>
        <v>44.85</v>
      </c>
      <c r="L30" s="10">
        <f>81.4*150/200</f>
        <v>61.05</v>
      </c>
      <c r="M30" s="10">
        <f>235.2*150/200</f>
        <v>176.4</v>
      </c>
      <c r="N30" s="10">
        <f>6.6*150/200</f>
        <v>4.95</v>
      </c>
    </row>
    <row r="31" spans="2:14" ht="12.75">
      <c r="B31" s="6" t="s">
        <v>62</v>
      </c>
      <c r="C31" s="7">
        <v>25</v>
      </c>
      <c r="D31" s="10">
        <v>1.9</v>
      </c>
      <c r="E31" s="10">
        <v>0.15</v>
      </c>
      <c r="F31" s="10">
        <v>13</v>
      </c>
      <c r="G31" s="10">
        <v>58</v>
      </c>
      <c r="H31" s="10">
        <v>0</v>
      </c>
      <c r="I31" s="10">
        <v>0</v>
      </c>
      <c r="J31" s="10">
        <v>0</v>
      </c>
      <c r="K31" s="10">
        <v>5</v>
      </c>
      <c r="L31" s="10">
        <v>3.5</v>
      </c>
      <c r="M31" s="10">
        <v>16.3</v>
      </c>
      <c r="N31" s="10">
        <v>0.2</v>
      </c>
    </row>
    <row r="32" spans="2:14" ht="12.75">
      <c r="B32" s="6" t="s">
        <v>125</v>
      </c>
      <c r="C32" s="7">
        <v>200</v>
      </c>
      <c r="D32" s="10">
        <v>1</v>
      </c>
      <c r="E32" s="10">
        <v>0</v>
      </c>
      <c r="F32" s="10">
        <v>18.2</v>
      </c>
      <c r="G32" s="10">
        <v>76</v>
      </c>
      <c r="H32" s="10">
        <v>0</v>
      </c>
      <c r="I32" s="10">
        <v>0.02</v>
      </c>
      <c r="J32" s="10">
        <v>4</v>
      </c>
      <c r="K32" s="10">
        <v>14</v>
      </c>
      <c r="L32" s="10">
        <v>8</v>
      </c>
      <c r="M32" s="10">
        <v>14</v>
      </c>
      <c r="N32" s="10">
        <v>0.6</v>
      </c>
    </row>
    <row r="33" spans="2:14" ht="12.75">
      <c r="B33" s="6"/>
      <c r="C33" s="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12.75">
      <c r="B34" s="16" t="s">
        <v>31</v>
      </c>
      <c r="C34" s="7"/>
      <c r="D34" s="7">
        <f aca="true" t="shared" si="1" ref="D34:N34">SUM(D27:D32)</f>
        <v>28.209999999999997</v>
      </c>
      <c r="E34" s="7">
        <f t="shared" si="1"/>
        <v>30.449999999999996</v>
      </c>
      <c r="F34" s="7">
        <f t="shared" si="1"/>
        <v>101.25</v>
      </c>
      <c r="G34" s="7">
        <f t="shared" si="1"/>
        <v>769.8</v>
      </c>
      <c r="H34" s="7">
        <f t="shared" si="1"/>
        <v>0</v>
      </c>
      <c r="I34" s="7">
        <f t="shared" si="1"/>
        <v>0.21</v>
      </c>
      <c r="J34" s="7">
        <f t="shared" si="1"/>
        <v>17.1</v>
      </c>
      <c r="K34" s="7">
        <f t="shared" si="1"/>
        <v>134.05</v>
      </c>
      <c r="L34" s="7">
        <f t="shared" si="1"/>
        <v>129.45</v>
      </c>
      <c r="M34" s="7">
        <f t="shared" si="1"/>
        <v>505.99999999999994</v>
      </c>
      <c r="N34" s="7">
        <f t="shared" si="1"/>
        <v>10.33</v>
      </c>
    </row>
    <row r="35" spans="2:14" ht="12.75">
      <c r="B35" s="16" t="s">
        <v>75</v>
      </c>
      <c r="C35" s="7"/>
      <c r="D35" s="7">
        <f aca="true" t="shared" si="2" ref="D35:N35">D25+D34</f>
        <v>39.67999999999999</v>
      </c>
      <c r="E35" s="7">
        <f t="shared" si="2"/>
        <v>50.86999999999999</v>
      </c>
      <c r="F35" s="7">
        <f t="shared" si="2"/>
        <v>235.54</v>
      </c>
      <c r="G35" s="7">
        <f t="shared" si="2"/>
        <v>1360.7</v>
      </c>
      <c r="H35" s="7">
        <f t="shared" si="2"/>
        <v>0.11</v>
      </c>
      <c r="I35" s="7">
        <f t="shared" si="2"/>
        <v>0.35</v>
      </c>
      <c r="J35" s="7">
        <f t="shared" si="2"/>
        <v>17.64</v>
      </c>
      <c r="K35" s="7">
        <f t="shared" si="2"/>
        <v>199.5</v>
      </c>
      <c r="L35" s="7">
        <f t="shared" si="2"/>
        <v>164.64</v>
      </c>
      <c r="M35" s="7">
        <f t="shared" si="2"/>
        <v>589.9599999999999</v>
      </c>
      <c r="N35" s="7">
        <f t="shared" si="2"/>
        <v>12.27</v>
      </c>
    </row>
    <row r="36" spans="2:14" ht="12.75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</sheetData>
  <sheetProtection/>
  <mergeCells count="17">
    <mergeCell ref="D17:F17"/>
    <mergeCell ref="B17:B18"/>
    <mergeCell ref="C17:C18"/>
    <mergeCell ref="G17:G18"/>
    <mergeCell ref="D9:J11"/>
    <mergeCell ref="K17:N17"/>
    <mergeCell ref="B3:G3"/>
    <mergeCell ref="B4:G4"/>
    <mergeCell ref="B5:G5"/>
    <mergeCell ref="B6:G6"/>
    <mergeCell ref="B7:F7"/>
    <mergeCell ref="I4:M4"/>
    <mergeCell ref="I7:M7"/>
    <mergeCell ref="K13:M13"/>
    <mergeCell ref="K14:M14"/>
    <mergeCell ref="K15:M15"/>
    <mergeCell ref="H17:J17"/>
  </mergeCells>
  <printOptions/>
  <pageMargins left="0.87" right="0.29" top="0.26" bottom="1" header="0.28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3:N35"/>
  <sheetViews>
    <sheetView zoomScalePageLayoutView="0" workbookViewId="0" topLeftCell="B1">
      <selection activeCell="K14" sqref="K14:M14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20"/>
      <c r="J3" s="20"/>
      <c r="K3" s="20"/>
      <c r="L3" s="20"/>
      <c r="M3" s="20"/>
    </row>
    <row r="4" spans="2:7" ht="12.75">
      <c r="B4" s="20"/>
      <c r="C4" s="20"/>
      <c r="D4" s="20"/>
      <c r="E4" s="20"/>
      <c r="F4" s="20"/>
      <c r="G4" s="20"/>
    </row>
    <row r="5" spans="2:7" ht="12.75">
      <c r="B5" s="20"/>
      <c r="C5" s="20"/>
      <c r="D5" s="20"/>
      <c r="E5" s="20"/>
      <c r="F5" s="20"/>
      <c r="G5" s="20"/>
    </row>
    <row r="6" spans="2:13" ht="12.75">
      <c r="B6" s="20"/>
      <c r="C6" s="20"/>
      <c r="D6" s="20"/>
      <c r="E6" s="20"/>
      <c r="F6" s="20"/>
      <c r="I6" s="20"/>
      <c r="J6" s="20"/>
      <c r="K6" s="20"/>
      <c r="L6" s="20"/>
      <c r="M6" s="20"/>
    </row>
    <row r="8" spans="4:10" ht="12.75">
      <c r="D8" s="26" t="s">
        <v>76</v>
      </c>
      <c r="E8" s="26"/>
      <c r="F8" s="26"/>
      <c r="G8" s="26"/>
      <c r="H8" s="26"/>
      <c r="I8" s="26"/>
      <c r="J8" s="26"/>
    </row>
    <row r="9" spans="4:10" ht="12.75">
      <c r="D9" s="26"/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2" spans="11:13" ht="12.75">
      <c r="K12" s="27" t="s">
        <v>66</v>
      </c>
      <c r="L12" s="27"/>
      <c r="M12" s="27"/>
    </row>
    <row r="13" spans="11:13" ht="12.75">
      <c r="K13" s="20" t="s">
        <v>11</v>
      </c>
      <c r="L13" s="20"/>
      <c r="M13" s="20"/>
    </row>
    <row r="14" spans="11:13" ht="12.75">
      <c r="K14" s="27" t="s">
        <v>72</v>
      </c>
      <c r="L14" s="27"/>
      <c r="M14" s="27"/>
    </row>
    <row r="16" spans="2:14" ht="25.5" customHeight="1">
      <c r="B16" s="24" t="s">
        <v>12</v>
      </c>
      <c r="C16" s="24" t="s">
        <v>13</v>
      </c>
      <c r="D16" s="21" t="s">
        <v>14</v>
      </c>
      <c r="E16" s="22"/>
      <c r="F16" s="23"/>
      <c r="G16" s="24" t="s">
        <v>15</v>
      </c>
      <c r="H16" s="21" t="s">
        <v>16</v>
      </c>
      <c r="I16" s="22"/>
      <c r="J16" s="23"/>
      <c r="K16" s="21" t="s">
        <v>17</v>
      </c>
      <c r="L16" s="22"/>
      <c r="M16" s="22"/>
      <c r="N16" s="23"/>
    </row>
    <row r="17" spans="2:14" ht="12.75">
      <c r="B17" s="25"/>
      <c r="C17" s="25"/>
      <c r="D17" s="3" t="s">
        <v>131</v>
      </c>
      <c r="E17" s="3" t="s">
        <v>132</v>
      </c>
      <c r="F17" s="3" t="s">
        <v>133</v>
      </c>
      <c r="G17" s="25"/>
      <c r="H17" s="3" t="s">
        <v>21</v>
      </c>
      <c r="I17" s="3" t="s">
        <v>22</v>
      </c>
      <c r="J17" s="3" t="s">
        <v>23</v>
      </c>
      <c r="K17" s="3" t="s">
        <v>24</v>
      </c>
      <c r="L17" s="3" t="s">
        <v>25</v>
      </c>
      <c r="M17" s="3" t="s">
        <v>26</v>
      </c>
      <c r="N17" s="3" t="s">
        <v>27</v>
      </c>
    </row>
    <row r="18" spans="2:14" ht="12.75">
      <c r="B18" s="15" t="s">
        <v>73</v>
      </c>
      <c r="C18" s="2"/>
      <c r="D18" s="11"/>
      <c r="E18" s="11"/>
      <c r="F18" s="11"/>
      <c r="G18" s="9"/>
      <c r="H18" s="11"/>
      <c r="I18" s="11"/>
      <c r="J18" s="11"/>
      <c r="K18" s="11"/>
      <c r="L18" s="11"/>
      <c r="M18" s="11"/>
      <c r="N18" s="11"/>
    </row>
    <row r="19" spans="2:14" ht="25.5">
      <c r="B19" s="6" t="s">
        <v>47</v>
      </c>
      <c r="C19" s="7" t="s">
        <v>48</v>
      </c>
      <c r="D19" s="7">
        <v>6.82</v>
      </c>
      <c r="E19" s="7">
        <v>16.12</v>
      </c>
      <c r="F19" s="7">
        <v>98.15</v>
      </c>
      <c r="G19" s="7">
        <v>289.88</v>
      </c>
      <c r="H19" s="7">
        <v>0.07</v>
      </c>
      <c r="I19" s="7">
        <v>0.02</v>
      </c>
      <c r="J19" s="7">
        <v>0.11</v>
      </c>
      <c r="K19" s="7">
        <v>52.6</v>
      </c>
      <c r="L19" s="7">
        <v>26.27</v>
      </c>
      <c r="M19" s="7">
        <v>68.3</v>
      </c>
      <c r="N19" s="7">
        <v>1.33</v>
      </c>
    </row>
    <row r="20" spans="2:14" ht="12.75">
      <c r="B20" s="6" t="s">
        <v>62</v>
      </c>
      <c r="C20" s="7">
        <v>25</v>
      </c>
      <c r="D20" s="7">
        <v>1.9</v>
      </c>
      <c r="E20" s="7">
        <v>0.15</v>
      </c>
      <c r="F20" s="7">
        <v>13</v>
      </c>
      <c r="G20" s="7">
        <v>58</v>
      </c>
      <c r="H20" s="7">
        <v>0</v>
      </c>
      <c r="I20" s="7">
        <v>0</v>
      </c>
      <c r="J20" s="7">
        <v>0</v>
      </c>
      <c r="K20" s="7">
        <v>5</v>
      </c>
      <c r="L20" s="7">
        <v>3.5</v>
      </c>
      <c r="M20" s="7">
        <v>16.3</v>
      </c>
      <c r="N20" s="7">
        <v>0.2</v>
      </c>
    </row>
    <row r="21" spans="2:14" ht="12.75">
      <c r="B21" s="6" t="s">
        <v>88</v>
      </c>
      <c r="C21" s="7">
        <v>10</v>
      </c>
      <c r="D21" s="7">
        <v>0.13</v>
      </c>
      <c r="E21" s="7">
        <v>7.25</v>
      </c>
      <c r="F21" s="7">
        <v>0.09</v>
      </c>
      <c r="G21" s="7">
        <v>66.1</v>
      </c>
      <c r="H21" s="7">
        <v>0.04</v>
      </c>
      <c r="I21" s="7">
        <v>0.04</v>
      </c>
      <c r="J21" s="7">
        <v>0</v>
      </c>
      <c r="K21" s="7">
        <v>2.4</v>
      </c>
      <c r="L21" s="7">
        <v>0.3</v>
      </c>
      <c r="M21" s="7">
        <v>2</v>
      </c>
      <c r="N21" s="7">
        <v>0.02</v>
      </c>
    </row>
    <row r="22" spans="2:14" ht="12.75">
      <c r="B22" s="6" t="s">
        <v>36</v>
      </c>
      <c r="C22" s="7" t="s">
        <v>37</v>
      </c>
      <c r="D22" s="7">
        <v>0</v>
      </c>
      <c r="E22" s="7">
        <v>0</v>
      </c>
      <c r="F22" s="7">
        <v>14.35</v>
      </c>
      <c r="G22" s="7">
        <v>58.5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</row>
    <row r="23" spans="2:14" ht="12.75">
      <c r="B23" s="4" t="s">
        <v>108</v>
      </c>
      <c r="C23" s="2">
        <v>50</v>
      </c>
      <c r="D23" s="7">
        <f>1.5*50/20</f>
        <v>3.75</v>
      </c>
      <c r="E23" s="7">
        <f>2.36*50/20</f>
        <v>5.9</v>
      </c>
      <c r="F23" s="7">
        <f>14.9*50/20</f>
        <v>37.25</v>
      </c>
      <c r="G23" s="2">
        <f>87.2*50/20</f>
        <v>218</v>
      </c>
      <c r="H23" s="7">
        <v>0</v>
      </c>
      <c r="I23" s="7">
        <f>0.01*50/20</f>
        <v>0.025</v>
      </c>
      <c r="J23" s="7">
        <v>0</v>
      </c>
      <c r="K23" s="7">
        <f>5.8*50/20</f>
        <v>14.5</v>
      </c>
      <c r="L23" s="7">
        <f>4*50/20</f>
        <v>10</v>
      </c>
      <c r="M23" s="7">
        <f>18*50/20</f>
        <v>45</v>
      </c>
      <c r="N23" s="7">
        <f>0.42*50/20</f>
        <v>1.05</v>
      </c>
    </row>
    <row r="24" spans="2:14" ht="12.75">
      <c r="B24" s="4"/>
      <c r="C24" s="2"/>
      <c r="D24" s="8"/>
      <c r="E24" s="8"/>
      <c r="F24" s="8"/>
      <c r="G24" s="9"/>
      <c r="H24" s="8"/>
      <c r="I24" s="8"/>
      <c r="J24" s="8"/>
      <c r="K24" s="8"/>
      <c r="L24" s="8"/>
      <c r="M24" s="8"/>
      <c r="N24" s="8"/>
    </row>
    <row r="25" spans="2:14" ht="12.75">
      <c r="B25" s="17" t="s">
        <v>31</v>
      </c>
      <c r="C25" s="2"/>
      <c r="D25" s="7">
        <f aca="true" t="shared" si="0" ref="D25:N25">SUM(D19:D22)</f>
        <v>8.850000000000001</v>
      </c>
      <c r="E25" s="7">
        <f t="shared" si="0"/>
        <v>23.52</v>
      </c>
      <c r="F25" s="7">
        <f t="shared" si="0"/>
        <v>125.59</v>
      </c>
      <c r="G25" s="7">
        <f>SUM(G19:G23)</f>
        <v>690.48</v>
      </c>
      <c r="H25" s="7">
        <f>SUM(H19:H23)</f>
        <v>0.11000000000000001</v>
      </c>
      <c r="I25" s="7">
        <f t="shared" si="0"/>
        <v>0.06</v>
      </c>
      <c r="J25" s="7">
        <f>SUM(J19:J23)</f>
        <v>0.11</v>
      </c>
      <c r="K25" s="7">
        <f t="shared" si="0"/>
        <v>60</v>
      </c>
      <c r="L25" s="7">
        <f t="shared" si="0"/>
        <v>30.07</v>
      </c>
      <c r="M25" s="7">
        <f t="shared" si="0"/>
        <v>86.6</v>
      </c>
      <c r="N25" s="7">
        <f t="shared" si="0"/>
        <v>1.55</v>
      </c>
    </row>
    <row r="26" spans="2:14" ht="12.75">
      <c r="B26" s="15" t="s">
        <v>74</v>
      </c>
      <c r="C26" s="2"/>
      <c r="D26" s="12"/>
      <c r="E26" s="12"/>
      <c r="F26" s="12"/>
      <c r="G26" s="2"/>
      <c r="H26" s="12"/>
      <c r="I26" s="12"/>
      <c r="J26" s="12"/>
      <c r="K26" s="12"/>
      <c r="L26" s="12"/>
      <c r="M26" s="12"/>
      <c r="N26" s="12"/>
    </row>
    <row r="27" spans="2:14" ht="25.5">
      <c r="B27" s="4" t="s">
        <v>82</v>
      </c>
      <c r="C27" s="2">
        <v>250</v>
      </c>
      <c r="D27" s="5">
        <v>2.7</v>
      </c>
      <c r="E27" s="5">
        <v>3.4</v>
      </c>
      <c r="F27" s="5">
        <v>23.8</v>
      </c>
      <c r="G27" s="2">
        <v>124.7</v>
      </c>
      <c r="H27" s="5">
        <v>0.9</v>
      </c>
      <c r="I27" s="5">
        <v>0.1</v>
      </c>
      <c r="J27" s="5">
        <v>1.65</v>
      </c>
      <c r="K27" s="5">
        <v>19.5</v>
      </c>
      <c r="L27" s="5">
        <v>31.8</v>
      </c>
      <c r="M27" s="5">
        <v>58</v>
      </c>
      <c r="N27" s="5">
        <v>1.2</v>
      </c>
    </row>
    <row r="28" spans="2:14" ht="25.5">
      <c r="B28" s="6" t="s">
        <v>67</v>
      </c>
      <c r="C28" s="7">
        <v>100</v>
      </c>
      <c r="D28" s="7">
        <v>18.3</v>
      </c>
      <c r="E28" s="7">
        <v>12.9</v>
      </c>
      <c r="F28" s="7">
        <v>7.6</v>
      </c>
      <c r="G28" s="7">
        <v>238.4</v>
      </c>
      <c r="H28" s="7">
        <v>2.7</v>
      </c>
      <c r="I28" s="7">
        <v>0.2</v>
      </c>
      <c r="J28" s="7">
        <v>25.8</v>
      </c>
      <c r="K28" s="7">
        <v>9.8</v>
      </c>
      <c r="L28" s="7">
        <v>16.2</v>
      </c>
      <c r="M28" s="7">
        <v>255.9</v>
      </c>
      <c r="N28" s="7">
        <v>6.7</v>
      </c>
    </row>
    <row r="29" spans="2:14" ht="12.75">
      <c r="B29" s="6" t="s">
        <v>60</v>
      </c>
      <c r="C29" s="7">
        <v>150</v>
      </c>
      <c r="D29" s="10">
        <v>3.2</v>
      </c>
      <c r="E29" s="10">
        <v>5.2</v>
      </c>
      <c r="F29" s="10">
        <v>26.4</v>
      </c>
      <c r="G29" s="10">
        <v>158.7</v>
      </c>
      <c r="H29" s="10">
        <v>0.04</v>
      </c>
      <c r="I29" s="10">
        <v>0.15</v>
      </c>
      <c r="J29" s="10">
        <v>25.8</v>
      </c>
      <c r="K29" s="10">
        <v>40.4</v>
      </c>
      <c r="L29" s="10">
        <v>33.6</v>
      </c>
      <c r="M29" s="10">
        <v>1.2</v>
      </c>
      <c r="N29" s="10">
        <v>97.9</v>
      </c>
    </row>
    <row r="30" spans="2:14" ht="25.5">
      <c r="B30" s="6" t="s">
        <v>30</v>
      </c>
      <c r="C30" s="7">
        <v>25</v>
      </c>
      <c r="D30" s="7">
        <v>2.02</v>
      </c>
      <c r="E30" s="7">
        <v>0.37</v>
      </c>
      <c r="F30" s="7">
        <v>13.2</v>
      </c>
      <c r="G30" s="7">
        <v>64.5</v>
      </c>
      <c r="H30" s="7">
        <v>0</v>
      </c>
      <c r="I30" s="7">
        <v>0.11</v>
      </c>
      <c r="J30" s="7">
        <v>0</v>
      </c>
      <c r="K30" s="7">
        <v>0</v>
      </c>
      <c r="L30" s="7">
        <v>0</v>
      </c>
      <c r="M30" s="7">
        <v>0</v>
      </c>
      <c r="N30" s="7">
        <v>0.5</v>
      </c>
    </row>
    <row r="31" spans="2:14" ht="12.75">
      <c r="B31" s="6" t="s">
        <v>99</v>
      </c>
      <c r="C31" s="7">
        <v>200</v>
      </c>
      <c r="D31" s="7">
        <v>0</v>
      </c>
      <c r="E31" s="7">
        <v>0</v>
      </c>
      <c r="F31" s="7">
        <v>9.9</v>
      </c>
      <c r="G31" s="7">
        <v>37.4</v>
      </c>
      <c r="H31" s="7">
        <v>0</v>
      </c>
      <c r="I31" s="7">
        <v>0</v>
      </c>
      <c r="J31" s="7">
        <v>0</v>
      </c>
      <c r="K31" s="7">
        <v>0.2</v>
      </c>
      <c r="L31" s="7">
        <v>0</v>
      </c>
      <c r="M31" s="7">
        <v>0.3</v>
      </c>
      <c r="N31" s="7">
        <v>0</v>
      </c>
    </row>
    <row r="32" spans="2:14" ht="12.75">
      <c r="B32" s="6"/>
      <c r="C32" s="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ht="12.75">
      <c r="B33" s="16" t="s">
        <v>31</v>
      </c>
      <c r="C33" s="7"/>
      <c r="D33" s="7">
        <f aca="true" t="shared" si="1" ref="D33:N33">SUM(D28:D31)</f>
        <v>23.52</v>
      </c>
      <c r="E33" s="7">
        <f t="shared" si="1"/>
        <v>18.470000000000002</v>
      </c>
      <c r="F33" s="7">
        <f t="shared" si="1"/>
        <v>57.1</v>
      </c>
      <c r="G33" s="7">
        <f>SUM(G27:G31)</f>
        <v>623.6999999999999</v>
      </c>
      <c r="H33" s="7">
        <f t="shared" si="1"/>
        <v>2.74</v>
      </c>
      <c r="I33" s="7">
        <f t="shared" si="1"/>
        <v>0.45999999999999996</v>
      </c>
      <c r="J33" s="7">
        <f t="shared" si="1"/>
        <v>51.6</v>
      </c>
      <c r="K33" s="7">
        <f t="shared" si="1"/>
        <v>50.400000000000006</v>
      </c>
      <c r="L33" s="7">
        <f t="shared" si="1"/>
        <v>49.8</v>
      </c>
      <c r="M33" s="7">
        <f t="shared" si="1"/>
        <v>257.40000000000003</v>
      </c>
      <c r="N33" s="7">
        <f t="shared" si="1"/>
        <v>105.10000000000001</v>
      </c>
    </row>
    <row r="34" spans="2:14" ht="12.75">
      <c r="B34" s="16" t="s">
        <v>75</v>
      </c>
      <c r="C34" s="7"/>
      <c r="D34" s="7">
        <f aca="true" t="shared" si="2" ref="D34:N34">D25+D33</f>
        <v>32.370000000000005</v>
      </c>
      <c r="E34" s="7">
        <f t="shared" si="2"/>
        <v>41.99</v>
      </c>
      <c r="F34" s="7">
        <f t="shared" si="2"/>
        <v>182.69</v>
      </c>
      <c r="G34" s="7">
        <f t="shared" si="2"/>
        <v>1314.1799999999998</v>
      </c>
      <c r="H34" s="7">
        <f t="shared" si="2"/>
        <v>2.85</v>
      </c>
      <c r="I34" s="7">
        <f t="shared" si="2"/>
        <v>0.52</v>
      </c>
      <c r="J34" s="7">
        <f t="shared" si="2"/>
        <v>51.71</v>
      </c>
      <c r="K34" s="7">
        <f t="shared" si="2"/>
        <v>110.4</v>
      </c>
      <c r="L34" s="7">
        <f t="shared" si="2"/>
        <v>79.87</v>
      </c>
      <c r="M34" s="7">
        <f t="shared" si="2"/>
        <v>344</v>
      </c>
      <c r="N34" s="7">
        <f t="shared" si="2"/>
        <v>106.65</v>
      </c>
    </row>
    <row r="35" spans="2:14" ht="12.75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</sheetData>
  <sheetProtection/>
  <mergeCells count="16">
    <mergeCell ref="K16:N16"/>
    <mergeCell ref="I3:M3"/>
    <mergeCell ref="I6:M6"/>
    <mergeCell ref="K12:M12"/>
    <mergeCell ref="K13:M13"/>
    <mergeCell ref="K14:M14"/>
    <mergeCell ref="H16:J16"/>
    <mergeCell ref="B16:B17"/>
    <mergeCell ref="C16:C17"/>
    <mergeCell ref="G16:G17"/>
    <mergeCell ref="B3:G3"/>
    <mergeCell ref="B4:G4"/>
    <mergeCell ref="B5:G5"/>
    <mergeCell ref="B6:F6"/>
    <mergeCell ref="D8:J10"/>
    <mergeCell ref="D16:F16"/>
  </mergeCells>
  <printOptions/>
  <pageMargins left="0.87" right="0.29" top="0.26" bottom="0.68" header="0.28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3:N25"/>
  <sheetViews>
    <sheetView zoomScalePageLayoutView="0" workbookViewId="0" topLeftCell="B1">
      <selection activeCell="K14" sqref="K14:M14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20"/>
      <c r="J3" s="20"/>
      <c r="K3" s="20"/>
      <c r="L3" s="20"/>
      <c r="M3" s="20"/>
    </row>
    <row r="4" spans="2:7" ht="12.75">
      <c r="B4" s="20"/>
      <c r="C4" s="20"/>
      <c r="D4" s="20"/>
      <c r="E4" s="20"/>
      <c r="F4" s="20"/>
      <c r="G4" s="20"/>
    </row>
    <row r="5" spans="2:7" ht="12.75">
      <c r="B5" s="20"/>
      <c r="C5" s="20"/>
      <c r="D5" s="20"/>
      <c r="E5" s="20"/>
      <c r="F5" s="20"/>
      <c r="G5" s="20"/>
    </row>
    <row r="6" spans="2:13" ht="12.75">
      <c r="B6" s="20"/>
      <c r="C6" s="20"/>
      <c r="D6" s="20"/>
      <c r="E6" s="20"/>
      <c r="F6" s="20"/>
      <c r="I6" s="20"/>
      <c r="J6" s="20"/>
      <c r="K6" s="20"/>
      <c r="L6" s="20"/>
      <c r="M6" s="20"/>
    </row>
    <row r="9" spans="4:10" ht="12.75">
      <c r="D9" s="26" t="s">
        <v>32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2" spans="11:13" ht="12.75">
      <c r="K12" s="27" t="s">
        <v>41</v>
      </c>
      <c r="L12" s="27"/>
      <c r="M12" s="27"/>
    </row>
    <row r="13" spans="11:13" ht="12.75">
      <c r="K13" s="20" t="s">
        <v>11</v>
      </c>
      <c r="L13" s="20"/>
      <c r="M13" s="20"/>
    </row>
    <row r="14" spans="11:13" ht="12.75">
      <c r="K14" s="27" t="s">
        <v>33</v>
      </c>
      <c r="L14" s="27"/>
      <c r="M14" s="27"/>
    </row>
    <row r="16" spans="2:14" ht="25.5" customHeight="1">
      <c r="B16" s="24" t="s">
        <v>12</v>
      </c>
      <c r="C16" s="24" t="s">
        <v>13</v>
      </c>
      <c r="D16" s="21" t="s">
        <v>14</v>
      </c>
      <c r="E16" s="22"/>
      <c r="F16" s="23"/>
      <c r="G16" s="24" t="s">
        <v>15</v>
      </c>
      <c r="H16" s="21" t="s">
        <v>16</v>
      </c>
      <c r="I16" s="22"/>
      <c r="J16" s="23"/>
      <c r="K16" s="21" t="s">
        <v>17</v>
      </c>
      <c r="L16" s="22"/>
      <c r="M16" s="22"/>
      <c r="N16" s="23"/>
    </row>
    <row r="17" spans="2:14" ht="12.75">
      <c r="B17" s="25"/>
      <c r="C17" s="25"/>
      <c r="D17" s="3" t="s">
        <v>131</v>
      </c>
      <c r="E17" s="3" t="s">
        <v>132</v>
      </c>
      <c r="F17" s="3" t="s">
        <v>133</v>
      </c>
      <c r="G17" s="25"/>
      <c r="H17" s="3" t="s">
        <v>21</v>
      </c>
      <c r="I17" s="3" t="s">
        <v>22</v>
      </c>
      <c r="J17" s="3" t="s">
        <v>23</v>
      </c>
      <c r="K17" s="3" t="s">
        <v>24</v>
      </c>
      <c r="L17" s="3" t="s">
        <v>25</v>
      </c>
      <c r="M17" s="3" t="s">
        <v>26</v>
      </c>
      <c r="N17" s="3" t="s">
        <v>27</v>
      </c>
    </row>
    <row r="18" spans="2:14" ht="25.5">
      <c r="B18" s="4" t="s">
        <v>42</v>
      </c>
      <c r="C18" s="2" t="s">
        <v>109</v>
      </c>
      <c r="D18" s="5">
        <v>11.7</v>
      </c>
      <c r="E18" s="5">
        <v>24.7</v>
      </c>
      <c r="F18" s="5">
        <v>2.8</v>
      </c>
      <c r="G18" s="2">
        <v>296.5</v>
      </c>
      <c r="H18" s="5">
        <v>0.7</v>
      </c>
      <c r="I18" s="5">
        <v>0.1</v>
      </c>
      <c r="J18" s="5">
        <v>0.2</v>
      </c>
      <c r="K18" s="5">
        <v>112.6</v>
      </c>
      <c r="L18" s="5">
        <v>69.3</v>
      </c>
      <c r="M18" s="5">
        <v>254</v>
      </c>
      <c r="N18" s="5">
        <v>2.99</v>
      </c>
    </row>
    <row r="19" spans="2:14" ht="12.75">
      <c r="B19" s="4" t="s">
        <v>43</v>
      </c>
      <c r="C19" s="2">
        <v>20</v>
      </c>
      <c r="D19" s="5">
        <v>5.3</v>
      </c>
      <c r="E19" s="5">
        <v>5.46</v>
      </c>
      <c r="F19" s="5">
        <v>0</v>
      </c>
      <c r="G19" s="2">
        <v>72.2</v>
      </c>
      <c r="H19" s="5">
        <v>0.05</v>
      </c>
      <c r="I19" s="5">
        <v>0</v>
      </c>
      <c r="J19" s="5">
        <v>0.3</v>
      </c>
      <c r="K19" s="5">
        <v>200</v>
      </c>
      <c r="L19" s="5">
        <v>9.4</v>
      </c>
      <c r="M19" s="5">
        <v>108.8</v>
      </c>
      <c r="N19" s="5">
        <v>0.13</v>
      </c>
    </row>
    <row r="20" spans="2:14" ht="25.5">
      <c r="B20" s="6" t="s">
        <v>44</v>
      </c>
      <c r="C20" s="7">
        <v>10</v>
      </c>
      <c r="D20" s="7">
        <v>0.13</v>
      </c>
      <c r="E20" s="7">
        <v>7.25</v>
      </c>
      <c r="F20" s="7">
        <v>0.09</v>
      </c>
      <c r="G20" s="7">
        <v>66.1</v>
      </c>
      <c r="H20" s="7">
        <v>0.04</v>
      </c>
      <c r="I20" s="7">
        <v>0.001</v>
      </c>
      <c r="J20" s="7">
        <v>0</v>
      </c>
      <c r="K20" s="7">
        <v>2.4</v>
      </c>
      <c r="L20" s="7">
        <v>0.3</v>
      </c>
      <c r="M20" s="7">
        <v>2</v>
      </c>
      <c r="N20" s="7">
        <v>0.02</v>
      </c>
    </row>
    <row r="21" spans="2:14" ht="12.75">
      <c r="B21" s="6" t="s">
        <v>45</v>
      </c>
      <c r="C21" s="7">
        <v>200</v>
      </c>
      <c r="D21" s="7">
        <v>3.7</v>
      </c>
      <c r="E21" s="7">
        <v>3.9</v>
      </c>
      <c r="F21" s="7">
        <v>24.8</v>
      </c>
      <c r="G21" s="7">
        <v>147.7</v>
      </c>
      <c r="H21" s="7">
        <v>0.04</v>
      </c>
      <c r="I21" s="7">
        <v>0.02</v>
      </c>
      <c r="J21" s="7">
        <v>1</v>
      </c>
      <c r="K21" s="7">
        <v>120.7</v>
      </c>
      <c r="L21" s="7">
        <v>17.6</v>
      </c>
      <c r="M21" s="7">
        <v>0.6</v>
      </c>
      <c r="N21" s="7">
        <v>125.6</v>
      </c>
    </row>
    <row r="22" spans="2:14" ht="25.5">
      <c r="B22" s="6" t="s">
        <v>30</v>
      </c>
      <c r="C22" s="7">
        <v>25</v>
      </c>
      <c r="D22" s="7">
        <v>2.02</v>
      </c>
      <c r="E22" s="7">
        <v>0.37</v>
      </c>
      <c r="F22" s="7">
        <v>13.2</v>
      </c>
      <c r="G22" s="7">
        <v>64.5</v>
      </c>
      <c r="H22" s="7">
        <v>0</v>
      </c>
      <c r="I22" s="7">
        <v>0.11</v>
      </c>
      <c r="J22" s="7">
        <v>0</v>
      </c>
      <c r="K22" s="7">
        <v>0</v>
      </c>
      <c r="L22" s="7">
        <v>0</v>
      </c>
      <c r="M22" s="7">
        <v>0</v>
      </c>
      <c r="N22" s="7">
        <v>0.5</v>
      </c>
    </row>
    <row r="23" spans="2:14" ht="12.7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12.75">
      <c r="B24" s="16" t="s">
        <v>31</v>
      </c>
      <c r="C24" s="7"/>
      <c r="D24" s="7">
        <f>SUM(D18:D20)</f>
        <v>17.13</v>
      </c>
      <c r="E24" s="7">
        <f>SUM(E18:E20)</f>
        <v>37.41</v>
      </c>
      <c r="F24" s="7">
        <f>SUM(F18:F20)</f>
        <v>2.8899999999999997</v>
      </c>
      <c r="G24" s="7">
        <f>SUM(G18:G21)</f>
        <v>582.5</v>
      </c>
      <c r="H24" s="7">
        <f aca="true" t="shared" si="0" ref="H24:N24">SUM(H18:H20)</f>
        <v>0.79</v>
      </c>
      <c r="I24" s="7">
        <f t="shared" si="0"/>
        <v>0.101</v>
      </c>
      <c r="J24" s="7">
        <f t="shared" si="0"/>
        <v>0.5</v>
      </c>
      <c r="K24" s="7">
        <f t="shared" si="0"/>
        <v>315</v>
      </c>
      <c r="L24" s="7">
        <f t="shared" si="0"/>
        <v>79</v>
      </c>
      <c r="M24" s="7">
        <f t="shared" si="0"/>
        <v>364.8</v>
      </c>
      <c r="N24" s="7">
        <f t="shared" si="0"/>
        <v>3.14</v>
      </c>
    </row>
    <row r="25" spans="2:14" ht="12.7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</sheetData>
  <sheetProtection/>
  <mergeCells count="16">
    <mergeCell ref="K16:N16"/>
    <mergeCell ref="I3:M3"/>
    <mergeCell ref="I6:M6"/>
    <mergeCell ref="K12:M12"/>
    <mergeCell ref="K13:M13"/>
    <mergeCell ref="K14:M14"/>
    <mergeCell ref="H16:J16"/>
    <mergeCell ref="B16:B17"/>
    <mergeCell ref="C16:C17"/>
    <mergeCell ref="G16:G17"/>
    <mergeCell ref="B3:G3"/>
    <mergeCell ref="B4:G4"/>
    <mergeCell ref="B5:G5"/>
    <mergeCell ref="B6:F6"/>
    <mergeCell ref="D9:J10"/>
    <mergeCell ref="D16:F16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3:N37"/>
  <sheetViews>
    <sheetView zoomScalePageLayoutView="0" workbookViewId="0" topLeftCell="A1">
      <selection activeCell="K15" sqref="K15:M15"/>
    </sheetView>
  </sheetViews>
  <sheetFormatPr defaultColWidth="9.00390625" defaultRowHeight="12.75"/>
  <cols>
    <col min="1" max="1" width="0.74609375" style="0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1"/>
      <c r="J3" s="1"/>
      <c r="K3" s="1"/>
      <c r="L3" s="1"/>
      <c r="M3" s="1"/>
    </row>
    <row r="4" spans="2:13" ht="12.75"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</row>
    <row r="5" spans="2:7" ht="12.75">
      <c r="B5" s="20"/>
      <c r="C5" s="20"/>
      <c r="D5" s="20"/>
      <c r="E5" s="20"/>
      <c r="F5" s="20"/>
      <c r="G5" s="20"/>
    </row>
    <row r="6" spans="2:7" ht="12.75">
      <c r="B6" s="20"/>
      <c r="C6" s="20"/>
      <c r="D6" s="20"/>
      <c r="E6" s="20"/>
      <c r="F6" s="20"/>
      <c r="G6" s="20"/>
    </row>
    <row r="7" spans="2:13" ht="12.75">
      <c r="B7" s="20"/>
      <c r="C7" s="20"/>
      <c r="D7" s="20"/>
      <c r="E7" s="20"/>
      <c r="F7" s="20"/>
      <c r="I7" s="20"/>
      <c r="J7" s="20"/>
      <c r="K7" s="20"/>
      <c r="L7" s="20"/>
      <c r="M7" s="20"/>
    </row>
    <row r="9" spans="4:10" ht="12.75">
      <c r="D9" s="26" t="s">
        <v>76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1" spans="4:10" ht="12.75">
      <c r="D11" s="26"/>
      <c r="E11" s="26"/>
      <c r="F11" s="26"/>
      <c r="G11" s="26"/>
      <c r="H11" s="26"/>
      <c r="I11" s="26"/>
      <c r="J11" s="26"/>
    </row>
    <row r="13" spans="11:13" ht="12.75">
      <c r="K13" s="27" t="s">
        <v>68</v>
      </c>
      <c r="L13" s="27"/>
      <c r="M13" s="27"/>
    </row>
    <row r="14" spans="11:13" ht="12.75">
      <c r="K14" s="20" t="s">
        <v>11</v>
      </c>
      <c r="L14" s="20"/>
      <c r="M14" s="20"/>
    </row>
    <row r="15" spans="11:13" ht="12.75">
      <c r="K15" s="27" t="s">
        <v>72</v>
      </c>
      <c r="L15" s="27"/>
      <c r="M15" s="27"/>
    </row>
    <row r="17" spans="2:14" ht="25.5" customHeight="1">
      <c r="B17" s="24" t="s">
        <v>12</v>
      </c>
      <c r="C17" s="24" t="s">
        <v>13</v>
      </c>
      <c r="D17" s="21" t="s">
        <v>14</v>
      </c>
      <c r="E17" s="22"/>
      <c r="F17" s="23"/>
      <c r="G17" s="24" t="s">
        <v>15</v>
      </c>
      <c r="H17" s="21" t="s">
        <v>16</v>
      </c>
      <c r="I17" s="22"/>
      <c r="J17" s="23"/>
      <c r="K17" s="21" t="s">
        <v>17</v>
      </c>
      <c r="L17" s="22"/>
      <c r="M17" s="22"/>
      <c r="N17" s="23"/>
    </row>
    <row r="18" spans="2:14" ht="12.75">
      <c r="B18" s="25"/>
      <c r="C18" s="25"/>
      <c r="D18" s="3" t="s">
        <v>131</v>
      </c>
      <c r="E18" s="3" t="s">
        <v>132</v>
      </c>
      <c r="F18" s="3" t="s">
        <v>133</v>
      </c>
      <c r="G18" s="25"/>
      <c r="H18" s="3" t="s">
        <v>21</v>
      </c>
      <c r="I18" s="3" t="s">
        <v>22</v>
      </c>
      <c r="J18" s="3" t="s">
        <v>23</v>
      </c>
      <c r="K18" s="3" t="s">
        <v>24</v>
      </c>
      <c r="L18" s="3" t="s">
        <v>25</v>
      </c>
      <c r="M18" s="3" t="s">
        <v>26</v>
      </c>
      <c r="N18" s="3" t="s">
        <v>27</v>
      </c>
    </row>
    <row r="19" spans="2:14" ht="12.75">
      <c r="B19" s="15" t="s">
        <v>73</v>
      </c>
      <c r="C19" s="2"/>
      <c r="D19" s="11"/>
      <c r="E19" s="11"/>
      <c r="F19" s="11"/>
      <c r="G19" s="9"/>
      <c r="H19" s="11"/>
      <c r="I19" s="11"/>
      <c r="J19" s="11"/>
      <c r="K19" s="11"/>
      <c r="L19" s="11"/>
      <c r="M19" s="11"/>
      <c r="N19" s="11"/>
    </row>
    <row r="20" spans="2:14" ht="25.5">
      <c r="B20" s="6" t="s">
        <v>104</v>
      </c>
      <c r="C20" s="7" t="s">
        <v>48</v>
      </c>
      <c r="D20" s="7">
        <v>8.8</v>
      </c>
      <c r="E20" s="7">
        <v>5.7</v>
      </c>
      <c r="F20" s="7">
        <v>39</v>
      </c>
      <c r="G20" s="7">
        <v>236.1</v>
      </c>
      <c r="H20" s="7">
        <v>0.06</v>
      </c>
      <c r="I20" s="7">
        <v>0.2</v>
      </c>
      <c r="J20" s="7">
        <v>0.5</v>
      </c>
      <c r="K20" s="7">
        <v>134.5</v>
      </c>
      <c r="L20" s="7">
        <v>79.8</v>
      </c>
      <c r="M20" s="7">
        <v>255.5</v>
      </c>
      <c r="N20" s="7">
        <v>3.6</v>
      </c>
    </row>
    <row r="21" spans="2:14" ht="12.75">
      <c r="B21" s="6" t="s">
        <v>62</v>
      </c>
      <c r="C21" s="7">
        <v>25</v>
      </c>
      <c r="D21" s="7">
        <v>1.9</v>
      </c>
      <c r="E21" s="7">
        <v>0.15</v>
      </c>
      <c r="F21" s="7">
        <v>13</v>
      </c>
      <c r="G21" s="7">
        <v>58</v>
      </c>
      <c r="H21" s="7">
        <v>0</v>
      </c>
      <c r="I21" s="7">
        <v>0</v>
      </c>
      <c r="J21" s="7">
        <v>0</v>
      </c>
      <c r="K21" s="7">
        <v>5</v>
      </c>
      <c r="L21" s="7">
        <v>3.5</v>
      </c>
      <c r="M21" s="7">
        <v>16.3</v>
      </c>
      <c r="N21" s="7">
        <v>0.2</v>
      </c>
    </row>
    <row r="22" spans="2:14" ht="12.75">
      <c r="B22" s="6" t="s">
        <v>43</v>
      </c>
      <c r="C22" s="2">
        <v>30</v>
      </c>
      <c r="D22" s="10">
        <f>5.3*30/20</f>
        <v>7.95</v>
      </c>
      <c r="E22" s="10">
        <f>5.46*30/20</f>
        <v>8.190000000000001</v>
      </c>
      <c r="F22" s="10">
        <v>0</v>
      </c>
      <c r="G22" s="9">
        <f>72.2*30/20</f>
        <v>108.3</v>
      </c>
      <c r="H22" s="10">
        <f>0.05*30/20</f>
        <v>0.075</v>
      </c>
      <c r="I22" s="10">
        <v>0</v>
      </c>
      <c r="J22" s="10">
        <f>0.3*30/20</f>
        <v>0.45</v>
      </c>
      <c r="K22" s="10">
        <f>200*30/20</f>
        <v>300</v>
      </c>
      <c r="L22" s="10">
        <f>9.4*30/20</f>
        <v>14.1</v>
      </c>
      <c r="M22" s="10">
        <f>108.8*30/20</f>
        <v>163.2</v>
      </c>
      <c r="N22" s="10">
        <f>0.13*30/20</f>
        <v>0.195</v>
      </c>
    </row>
    <row r="23" spans="2:14" ht="12.75">
      <c r="B23" s="6" t="s">
        <v>45</v>
      </c>
      <c r="C23" s="7">
        <v>200</v>
      </c>
      <c r="D23" s="10">
        <v>3.7</v>
      </c>
      <c r="E23" s="10">
        <v>3.9</v>
      </c>
      <c r="F23" s="10">
        <v>24.8</v>
      </c>
      <c r="G23" s="10">
        <v>147.7</v>
      </c>
      <c r="H23" s="10">
        <v>0.04</v>
      </c>
      <c r="I23" s="10">
        <v>0.02</v>
      </c>
      <c r="J23" s="10">
        <v>1</v>
      </c>
      <c r="K23" s="10">
        <v>120.7</v>
      </c>
      <c r="L23" s="10">
        <v>17.6</v>
      </c>
      <c r="M23" s="10">
        <v>0.6</v>
      </c>
      <c r="N23" s="10">
        <v>125.6</v>
      </c>
    </row>
    <row r="24" spans="2:14" ht="12.75">
      <c r="B24" s="4" t="s">
        <v>108</v>
      </c>
      <c r="C24" s="2">
        <v>30</v>
      </c>
      <c r="D24" s="7">
        <f>3.75*30/50</f>
        <v>2.25</v>
      </c>
      <c r="E24" s="7">
        <f>5.9*30/50</f>
        <v>3.54</v>
      </c>
      <c r="F24" s="7">
        <f>37.25*30/50</f>
        <v>22.35</v>
      </c>
      <c r="G24" s="2">
        <f>218*30/50</f>
        <v>130.8</v>
      </c>
      <c r="H24" s="7">
        <v>0</v>
      </c>
      <c r="I24" s="7">
        <f>0.025*30/50</f>
        <v>0.015</v>
      </c>
      <c r="J24" s="7">
        <v>0</v>
      </c>
      <c r="K24" s="7">
        <f>14.5*30/50</f>
        <v>8.7</v>
      </c>
      <c r="L24" s="7">
        <f>10*30/50</f>
        <v>6</v>
      </c>
      <c r="M24" s="7">
        <f>45*30/50</f>
        <v>27</v>
      </c>
      <c r="N24" s="7">
        <f>1.05*30/50</f>
        <v>0.63</v>
      </c>
    </row>
    <row r="25" spans="2:14" ht="12.75">
      <c r="B25" s="4"/>
      <c r="C25" s="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ht="12.75">
      <c r="B26" s="17" t="s">
        <v>31</v>
      </c>
      <c r="C26" s="2"/>
      <c r="D26" s="7">
        <f>SUM(D20:D23)</f>
        <v>22.35</v>
      </c>
      <c r="E26" s="7">
        <f>SUM(E20:E23)</f>
        <v>17.94</v>
      </c>
      <c r="F26" s="7">
        <f>SUM(F20:F23)</f>
        <v>76.8</v>
      </c>
      <c r="G26" s="7">
        <f>SUM(G20:G24)</f>
        <v>680.9000000000001</v>
      </c>
      <c r="H26" s="7">
        <f aca="true" t="shared" si="0" ref="H26:N26">SUM(H20:H23)</f>
        <v>0.17500000000000002</v>
      </c>
      <c r="I26" s="7">
        <f t="shared" si="0"/>
        <v>0.22</v>
      </c>
      <c r="J26" s="7">
        <f t="shared" si="0"/>
        <v>1.95</v>
      </c>
      <c r="K26" s="7">
        <f t="shared" si="0"/>
        <v>560.2</v>
      </c>
      <c r="L26" s="7">
        <f t="shared" si="0"/>
        <v>115</v>
      </c>
      <c r="M26" s="7">
        <f t="shared" si="0"/>
        <v>435.6</v>
      </c>
      <c r="N26" s="7">
        <f t="shared" si="0"/>
        <v>129.595</v>
      </c>
    </row>
    <row r="27" spans="2:14" ht="12.75">
      <c r="B27" s="15" t="s">
        <v>74</v>
      </c>
      <c r="C27" s="2"/>
      <c r="D27" s="12"/>
      <c r="E27" s="12"/>
      <c r="F27" s="12"/>
      <c r="G27" s="2"/>
      <c r="H27" s="12"/>
      <c r="I27" s="12"/>
      <c r="J27" s="12"/>
      <c r="K27" s="12"/>
      <c r="L27" s="12"/>
      <c r="M27" s="12"/>
      <c r="N27" s="12"/>
    </row>
    <row r="28" spans="2:14" ht="25.5">
      <c r="B28" s="6" t="s">
        <v>106</v>
      </c>
      <c r="C28" s="7">
        <v>250</v>
      </c>
      <c r="D28" s="7">
        <v>2.9</v>
      </c>
      <c r="E28" s="7">
        <v>2.2</v>
      </c>
      <c r="F28" s="7">
        <v>24</v>
      </c>
      <c r="G28" s="7">
        <v>121</v>
      </c>
      <c r="H28" s="7">
        <v>0.9</v>
      </c>
      <c r="I28" s="7">
        <v>0.12</v>
      </c>
      <c r="J28" s="7">
        <v>16.5</v>
      </c>
      <c r="K28" s="7">
        <v>17.5</v>
      </c>
      <c r="L28" s="7">
        <v>24.1</v>
      </c>
      <c r="M28" s="7">
        <v>63.5</v>
      </c>
      <c r="N28" s="7">
        <v>1</v>
      </c>
    </row>
    <row r="29" spans="2:14" ht="12.75">
      <c r="B29" s="6" t="s">
        <v>69</v>
      </c>
      <c r="C29" s="7">
        <v>100</v>
      </c>
      <c r="D29" s="10">
        <f>16.1-0.4</f>
        <v>15.700000000000001</v>
      </c>
      <c r="E29" s="10">
        <f>14.76-3.6</f>
        <v>11.16</v>
      </c>
      <c r="F29" s="10">
        <f>14.05-0.06</f>
        <v>13.99</v>
      </c>
      <c r="G29" s="10">
        <f>250.38-33</f>
        <v>217.38</v>
      </c>
      <c r="H29" s="10">
        <v>0</v>
      </c>
      <c r="I29" s="10">
        <v>0</v>
      </c>
      <c r="J29" s="10">
        <v>0</v>
      </c>
      <c r="K29" s="10">
        <f>38.66-1.2</f>
        <v>37.459999999999994</v>
      </c>
      <c r="L29" s="10">
        <f>22+0.02</f>
        <v>22.02</v>
      </c>
      <c r="M29" s="10">
        <f>178+1.5</f>
        <v>179.5</v>
      </c>
      <c r="N29" s="10">
        <f>1.6+0.01</f>
        <v>1.61</v>
      </c>
    </row>
    <row r="30" spans="2:14" ht="12.75">
      <c r="B30" s="6" t="s">
        <v>35</v>
      </c>
      <c r="C30" s="7">
        <v>50</v>
      </c>
      <c r="D30" s="10">
        <v>0.4</v>
      </c>
      <c r="E30" s="10">
        <v>0.81</v>
      </c>
      <c r="F30" s="10">
        <v>3.55</v>
      </c>
      <c r="G30" s="10">
        <v>22.9</v>
      </c>
      <c r="H30" s="10">
        <v>0</v>
      </c>
      <c r="I30" s="10">
        <v>0</v>
      </c>
      <c r="J30" s="10">
        <v>1.6</v>
      </c>
      <c r="K30" s="10">
        <v>3.8</v>
      </c>
      <c r="L30" s="10">
        <v>2</v>
      </c>
      <c r="M30" s="10">
        <v>8.4</v>
      </c>
      <c r="N30" s="10">
        <v>0.2</v>
      </c>
    </row>
    <row r="31" spans="2:14" ht="12.75">
      <c r="B31" s="6" t="s">
        <v>28</v>
      </c>
      <c r="C31" s="7">
        <v>150</v>
      </c>
      <c r="D31" s="10">
        <v>4.7</v>
      </c>
      <c r="E31" s="10">
        <v>4.9</v>
      </c>
      <c r="F31" s="10">
        <v>36.9</v>
      </c>
      <c r="G31" s="10">
        <v>201.1</v>
      </c>
      <c r="H31" s="10">
        <v>0.02</v>
      </c>
      <c r="I31" s="10">
        <v>0.06</v>
      </c>
      <c r="J31" s="10">
        <v>0</v>
      </c>
      <c r="K31" s="10">
        <v>20.1</v>
      </c>
      <c r="L31" s="10">
        <v>9.2</v>
      </c>
      <c r="M31" s="10">
        <v>162.5</v>
      </c>
      <c r="N31" s="10">
        <v>1.65</v>
      </c>
    </row>
    <row r="32" spans="2:14" ht="25.5">
      <c r="B32" s="6" t="s">
        <v>30</v>
      </c>
      <c r="C32" s="7">
        <v>25</v>
      </c>
      <c r="D32" s="7">
        <v>2.02</v>
      </c>
      <c r="E32" s="7">
        <v>0.37</v>
      </c>
      <c r="F32" s="7">
        <v>13.2</v>
      </c>
      <c r="G32" s="7">
        <v>64.5</v>
      </c>
      <c r="H32" s="7">
        <v>0</v>
      </c>
      <c r="I32" s="7">
        <v>0.11</v>
      </c>
      <c r="J32" s="7">
        <v>0</v>
      </c>
      <c r="K32" s="7">
        <v>0</v>
      </c>
      <c r="L32" s="7">
        <v>0</v>
      </c>
      <c r="M32" s="7">
        <v>0</v>
      </c>
      <c r="N32" s="7">
        <v>0.5</v>
      </c>
    </row>
    <row r="33" spans="2:14" ht="12.75">
      <c r="B33" s="6" t="s">
        <v>29</v>
      </c>
      <c r="C33" s="7">
        <v>200</v>
      </c>
      <c r="D33" s="7">
        <v>0.6</v>
      </c>
      <c r="E33" s="7">
        <v>0</v>
      </c>
      <c r="F33" s="7">
        <v>33.6</v>
      </c>
      <c r="G33" s="7">
        <v>129.4</v>
      </c>
      <c r="H33" s="7">
        <v>0</v>
      </c>
      <c r="I33" s="7">
        <v>0</v>
      </c>
      <c r="J33" s="7">
        <v>0.4</v>
      </c>
      <c r="K33" s="7">
        <v>16.6</v>
      </c>
      <c r="L33" s="7">
        <v>0</v>
      </c>
      <c r="M33" s="7">
        <v>9</v>
      </c>
      <c r="N33" s="7">
        <v>2.2</v>
      </c>
    </row>
    <row r="34" spans="2:14" ht="12.75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ht="12.75">
      <c r="B35" s="16" t="s">
        <v>31</v>
      </c>
      <c r="C35" s="7"/>
      <c r="D35" s="7">
        <f>SUM(D28:D33)</f>
        <v>26.32</v>
      </c>
      <c r="E35" s="7">
        <f>SUM(E28:E33)</f>
        <v>19.44</v>
      </c>
      <c r="F35" s="7">
        <f>SUM(F28:F33)</f>
        <v>125.24000000000001</v>
      </c>
      <c r="G35" s="7">
        <f>SUM(G28:G33)</f>
        <v>756.28</v>
      </c>
      <c r="H35" s="7">
        <f aca="true" t="shared" si="1" ref="H35:N35">SUM(H28:H33)</f>
        <v>0.92</v>
      </c>
      <c r="I35" s="7">
        <f t="shared" si="1"/>
        <v>0.29</v>
      </c>
      <c r="J35" s="7">
        <f t="shared" si="1"/>
        <v>18.5</v>
      </c>
      <c r="K35" s="7">
        <f t="shared" si="1"/>
        <v>95.45999999999998</v>
      </c>
      <c r="L35" s="7">
        <f t="shared" si="1"/>
        <v>57.32000000000001</v>
      </c>
      <c r="M35" s="7">
        <f t="shared" si="1"/>
        <v>422.9</v>
      </c>
      <c r="N35" s="7">
        <f t="shared" si="1"/>
        <v>7.160000000000001</v>
      </c>
    </row>
    <row r="36" spans="2:14" ht="12.75">
      <c r="B36" s="16" t="s">
        <v>75</v>
      </c>
      <c r="C36" s="7"/>
      <c r="D36" s="7">
        <f aca="true" t="shared" si="2" ref="D36:N36">D26+D35</f>
        <v>48.67</v>
      </c>
      <c r="E36" s="7">
        <f t="shared" si="2"/>
        <v>37.38</v>
      </c>
      <c r="F36" s="7">
        <f t="shared" si="2"/>
        <v>202.04000000000002</v>
      </c>
      <c r="G36" s="7">
        <f t="shared" si="2"/>
        <v>1437.18</v>
      </c>
      <c r="H36" s="7">
        <f t="shared" si="2"/>
        <v>1.095</v>
      </c>
      <c r="I36" s="7">
        <f t="shared" si="2"/>
        <v>0.51</v>
      </c>
      <c r="J36" s="7">
        <f t="shared" si="2"/>
        <v>20.45</v>
      </c>
      <c r="K36" s="7">
        <f t="shared" si="2"/>
        <v>655.6600000000001</v>
      </c>
      <c r="L36" s="7">
        <f t="shared" si="2"/>
        <v>172.32</v>
      </c>
      <c r="M36" s="7">
        <f t="shared" si="2"/>
        <v>858.5</v>
      </c>
      <c r="N36" s="7">
        <f t="shared" si="2"/>
        <v>136.755</v>
      </c>
    </row>
    <row r="37" spans="2:14" ht="12.75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</sheetData>
  <sheetProtection/>
  <mergeCells count="17">
    <mergeCell ref="D17:F17"/>
    <mergeCell ref="B17:B18"/>
    <mergeCell ref="C17:C18"/>
    <mergeCell ref="G17:G18"/>
    <mergeCell ref="D9:J11"/>
    <mergeCell ref="K17:N17"/>
    <mergeCell ref="B3:G3"/>
    <mergeCell ref="B4:G4"/>
    <mergeCell ref="B5:G5"/>
    <mergeCell ref="B6:G6"/>
    <mergeCell ref="B7:F7"/>
    <mergeCell ref="I4:M4"/>
    <mergeCell ref="I7:M7"/>
    <mergeCell ref="K13:M13"/>
    <mergeCell ref="K14:M14"/>
    <mergeCell ref="K15:M15"/>
    <mergeCell ref="H17:J17"/>
  </mergeCells>
  <printOptions/>
  <pageMargins left="0.87" right="0.29" top="0.26" bottom="0.47" header="0.28" footer="0.26"/>
  <pageSetup horizontalDpi="600" verticalDpi="600" orientation="landscape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3:N39"/>
  <sheetViews>
    <sheetView zoomScalePageLayoutView="0" workbookViewId="0" topLeftCell="B1">
      <selection activeCell="F21" sqref="F21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7" ht="12.75">
      <c r="B3" s="19" t="s">
        <v>0</v>
      </c>
      <c r="C3" s="19"/>
      <c r="D3" s="19"/>
      <c r="E3" s="19"/>
      <c r="F3" s="19"/>
      <c r="G3" s="19"/>
    </row>
    <row r="4" spans="2:14" ht="12.75">
      <c r="B4" s="19"/>
      <c r="C4" s="19"/>
      <c r="D4" s="19"/>
      <c r="E4" s="19"/>
      <c r="F4" s="19"/>
      <c r="G4" s="19"/>
      <c r="I4" s="20" t="s">
        <v>1</v>
      </c>
      <c r="J4" s="20"/>
      <c r="K4" s="20"/>
      <c r="L4" s="20"/>
      <c r="M4" s="20"/>
      <c r="N4" s="20"/>
    </row>
    <row r="5" spans="2:7" ht="12.75">
      <c r="B5" s="19"/>
      <c r="C5" s="19"/>
      <c r="D5" s="19"/>
      <c r="E5" s="19"/>
      <c r="F5" s="19"/>
      <c r="G5" s="19"/>
    </row>
    <row r="6" spans="2:13" ht="12.75">
      <c r="B6" s="20" t="s">
        <v>2</v>
      </c>
      <c r="C6" s="20"/>
      <c r="D6" s="20"/>
      <c r="E6" s="20"/>
      <c r="F6" s="20"/>
      <c r="G6" s="20"/>
      <c r="I6" s="1" t="s">
        <v>3</v>
      </c>
      <c r="J6" s="1"/>
      <c r="K6" s="1"/>
      <c r="L6" s="1"/>
      <c r="M6" s="1"/>
    </row>
    <row r="7" spans="2:13" ht="12.75">
      <c r="B7" s="20" t="s">
        <v>4</v>
      </c>
      <c r="C7" s="20"/>
      <c r="D7" s="20"/>
      <c r="E7" s="20"/>
      <c r="F7" s="20"/>
      <c r="G7" s="20"/>
      <c r="I7" s="20" t="s">
        <v>5</v>
      </c>
      <c r="J7" s="20"/>
      <c r="K7" s="20"/>
      <c r="L7" s="20"/>
      <c r="M7" s="20"/>
    </row>
    <row r="8" spans="2:7" ht="12.75">
      <c r="B8" s="20" t="s">
        <v>6</v>
      </c>
      <c r="C8" s="20"/>
      <c r="D8" s="20"/>
      <c r="E8" s="20"/>
      <c r="F8" s="20"/>
      <c r="G8" s="20"/>
    </row>
    <row r="9" spans="2:7" ht="12.75">
      <c r="B9" s="20" t="s">
        <v>7</v>
      </c>
      <c r="C9" s="20"/>
      <c r="D9" s="20"/>
      <c r="E9" s="20"/>
      <c r="F9" s="20"/>
      <c r="G9" s="20"/>
    </row>
    <row r="10" spans="2:13" ht="12.75">
      <c r="B10" s="20" t="s">
        <v>8</v>
      </c>
      <c r="C10" s="20"/>
      <c r="D10" s="20"/>
      <c r="E10" s="20"/>
      <c r="F10" s="20"/>
      <c r="I10" s="20" t="s">
        <v>9</v>
      </c>
      <c r="J10" s="20"/>
      <c r="K10" s="20"/>
      <c r="L10" s="20"/>
      <c r="M10" s="20"/>
    </row>
    <row r="12" spans="4:10" ht="12.75">
      <c r="D12" s="26" t="s">
        <v>76</v>
      </c>
      <c r="E12" s="26"/>
      <c r="F12" s="26"/>
      <c r="G12" s="26"/>
      <c r="H12" s="26"/>
      <c r="I12" s="26"/>
      <c r="J12" s="26"/>
    </row>
    <row r="13" spans="4:10" ht="12.75">
      <c r="D13" s="26"/>
      <c r="E13" s="26"/>
      <c r="F13" s="26"/>
      <c r="G13" s="26"/>
      <c r="H13" s="26"/>
      <c r="I13" s="26"/>
      <c r="J13" s="26"/>
    </row>
    <row r="14" spans="4:10" ht="12.75">
      <c r="D14" s="26"/>
      <c r="E14" s="26"/>
      <c r="F14" s="26"/>
      <c r="G14" s="26"/>
      <c r="H14" s="26"/>
      <c r="I14" s="26"/>
      <c r="J14" s="26"/>
    </row>
    <row r="16" spans="11:13" ht="12.75">
      <c r="K16" s="27" t="s">
        <v>10</v>
      </c>
      <c r="L16" s="27"/>
      <c r="M16" s="27"/>
    </row>
    <row r="17" spans="11:13" ht="12.75">
      <c r="K17" s="20" t="s">
        <v>11</v>
      </c>
      <c r="L17" s="20"/>
      <c r="M17" s="20"/>
    </row>
    <row r="18" spans="11:13" ht="12.75">
      <c r="K18" s="27" t="s">
        <v>112</v>
      </c>
      <c r="L18" s="27"/>
      <c r="M18" s="27"/>
    </row>
    <row r="20" spans="2:14" ht="25.5" customHeight="1">
      <c r="B20" s="24" t="s">
        <v>12</v>
      </c>
      <c r="C20" s="24" t="s">
        <v>13</v>
      </c>
      <c r="D20" s="21" t="s">
        <v>14</v>
      </c>
      <c r="E20" s="22"/>
      <c r="F20" s="23"/>
      <c r="G20" s="24" t="s">
        <v>15</v>
      </c>
      <c r="H20" s="21" t="s">
        <v>16</v>
      </c>
      <c r="I20" s="22"/>
      <c r="J20" s="23"/>
      <c r="K20" s="21" t="s">
        <v>17</v>
      </c>
      <c r="L20" s="22"/>
      <c r="M20" s="22"/>
      <c r="N20" s="23"/>
    </row>
    <row r="21" spans="2:14" ht="12.75">
      <c r="B21" s="25"/>
      <c r="C21" s="25"/>
      <c r="D21" s="3" t="s">
        <v>131</v>
      </c>
      <c r="E21" s="3" t="s">
        <v>132</v>
      </c>
      <c r="F21" s="3" t="s">
        <v>133</v>
      </c>
      <c r="G21" s="25"/>
      <c r="H21" s="3" t="s">
        <v>21</v>
      </c>
      <c r="I21" s="3" t="s">
        <v>22</v>
      </c>
      <c r="J21" s="3" t="s">
        <v>23</v>
      </c>
      <c r="K21" s="3" t="s">
        <v>24</v>
      </c>
      <c r="L21" s="3" t="s">
        <v>25</v>
      </c>
      <c r="M21" s="3" t="s">
        <v>26</v>
      </c>
      <c r="N21" s="3" t="s">
        <v>27</v>
      </c>
    </row>
    <row r="22" spans="2:14" ht="12.75">
      <c r="B22" s="15" t="s">
        <v>73</v>
      </c>
      <c r="C22" s="2"/>
      <c r="D22" s="11"/>
      <c r="E22" s="11"/>
      <c r="F22" s="11"/>
      <c r="G22" s="9"/>
      <c r="H22" s="11"/>
      <c r="I22" s="11">
        <v>2.356</v>
      </c>
      <c r="J22" s="11"/>
      <c r="K22" s="11"/>
      <c r="L22" s="11"/>
      <c r="M22" s="11"/>
      <c r="N22" s="11"/>
    </row>
    <row r="23" spans="2:14" ht="25.5">
      <c r="B23" s="4" t="s">
        <v>47</v>
      </c>
      <c r="C23" s="2" t="s">
        <v>48</v>
      </c>
      <c r="D23" s="5">
        <v>5.8</v>
      </c>
      <c r="E23" s="5">
        <v>7.5</v>
      </c>
      <c r="F23" s="5">
        <v>44.6</v>
      </c>
      <c r="G23" s="2">
        <v>258.7</v>
      </c>
      <c r="H23" s="5">
        <v>0.06</v>
      </c>
      <c r="I23" s="5">
        <v>0.02</v>
      </c>
      <c r="J23" s="5">
        <v>1</v>
      </c>
      <c r="K23" s="5">
        <v>130.2</v>
      </c>
      <c r="L23" s="5">
        <v>23.1</v>
      </c>
      <c r="M23" s="5">
        <v>0.9</v>
      </c>
      <c r="N23" s="5">
        <v>138.5</v>
      </c>
    </row>
    <row r="24" spans="2:14" ht="12.75">
      <c r="B24" s="4" t="s">
        <v>43</v>
      </c>
      <c r="C24" s="2">
        <v>20</v>
      </c>
      <c r="D24" s="5">
        <v>5.3</v>
      </c>
      <c r="E24" s="5">
        <v>5.46</v>
      </c>
      <c r="F24" s="5">
        <v>0</v>
      </c>
      <c r="G24" s="2">
        <v>72.2</v>
      </c>
      <c r="H24" s="5">
        <v>0.05</v>
      </c>
      <c r="I24" s="5">
        <v>0</v>
      </c>
      <c r="J24" s="5">
        <v>0.3</v>
      </c>
      <c r="K24" s="5">
        <v>200</v>
      </c>
      <c r="L24" s="5">
        <v>9.4</v>
      </c>
      <c r="M24" s="5">
        <v>108.8</v>
      </c>
      <c r="N24" s="5">
        <v>0.13</v>
      </c>
    </row>
    <row r="25" spans="2:14" ht="25.5">
      <c r="B25" s="6" t="s">
        <v>30</v>
      </c>
      <c r="C25" s="7">
        <v>25</v>
      </c>
      <c r="D25" s="10">
        <v>2.02</v>
      </c>
      <c r="E25" s="10">
        <v>0.37</v>
      </c>
      <c r="F25" s="10">
        <v>13.2</v>
      </c>
      <c r="G25" s="10">
        <v>64.5</v>
      </c>
      <c r="H25" s="10">
        <v>0</v>
      </c>
      <c r="I25" s="10">
        <v>0.11</v>
      </c>
      <c r="J25" s="10">
        <v>0</v>
      </c>
      <c r="K25" s="10">
        <v>0</v>
      </c>
      <c r="L25" s="10">
        <v>0</v>
      </c>
      <c r="M25" s="10">
        <v>0</v>
      </c>
      <c r="N25" s="10">
        <v>0.5</v>
      </c>
    </row>
    <row r="26" spans="2:14" ht="12.75">
      <c r="B26" s="6" t="s">
        <v>45</v>
      </c>
      <c r="C26" s="7">
        <v>200</v>
      </c>
      <c r="D26" s="10">
        <v>3.7</v>
      </c>
      <c r="E26" s="10">
        <v>3.9</v>
      </c>
      <c r="F26" s="10">
        <v>24.8</v>
      </c>
      <c r="G26" s="10">
        <v>147.7</v>
      </c>
      <c r="H26" s="10">
        <v>0.04</v>
      </c>
      <c r="I26" s="10">
        <v>0.02</v>
      </c>
      <c r="J26" s="10">
        <v>1</v>
      </c>
      <c r="K26" s="10">
        <v>120.7</v>
      </c>
      <c r="L26" s="10">
        <v>17.6</v>
      </c>
      <c r="M26" s="10">
        <v>0.6</v>
      </c>
      <c r="N26" s="10">
        <v>125.6</v>
      </c>
    </row>
    <row r="27" spans="2:14" ht="12.75">
      <c r="B27" s="4" t="s">
        <v>108</v>
      </c>
      <c r="C27" s="2">
        <v>50</v>
      </c>
      <c r="D27" s="10">
        <v>3.75</v>
      </c>
      <c r="E27" s="10">
        <v>5.9</v>
      </c>
      <c r="F27" s="10">
        <v>36.5</v>
      </c>
      <c r="G27" s="9">
        <v>218</v>
      </c>
      <c r="H27" s="10">
        <v>0</v>
      </c>
      <c r="I27" s="10">
        <v>0.04</v>
      </c>
      <c r="J27" s="10">
        <v>0</v>
      </c>
      <c r="K27" s="10">
        <v>14.5</v>
      </c>
      <c r="L27" s="10">
        <v>10</v>
      </c>
      <c r="M27" s="10">
        <v>45</v>
      </c>
      <c r="N27" s="10">
        <v>1.05</v>
      </c>
    </row>
    <row r="28" spans="2:14" ht="12.75">
      <c r="B28" s="4"/>
      <c r="C28" s="2"/>
      <c r="D28" s="8"/>
      <c r="E28" s="8"/>
      <c r="F28" s="8"/>
      <c r="G28" s="9"/>
      <c r="H28" s="8"/>
      <c r="I28" s="8"/>
      <c r="J28" s="8"/>
      <c r="K28" s="8"/>
      <c r="L28" s="8"/>
      <c r="M28" s="8"/>
      <c r="N28" s="8"/>
    </row>
    <row r="29" spans="2:14" ht="12.75">
      <c r="B29" s="17" t="s">
        <v>31</v>
      </c>
      <c r="C29" s="2"/>
      <c r="D29" s="2">
        <f aca="true" t="shared" si="0" ref="D29:N29">SUM(D23:D28)</f>
        <v>20.57</v>
      </c>
      <c r="E29" s="2">
        <f t="shared" si="0"/>
        <v>23.130000000000003</v>
      </c>
      <c r="F29" s="2">
        <f t="shared" si="0"/>
        <v>119.1</v>
      </c>
      <c r="G29" s="2">
        <f t="shared" si="0"/>
        <v>761.0999999999999</v>
      </c>
      <c r="H29" s="5">
        <f t="shared" si="0"/>
        <v>0.15</v>
      </c>
      <c r="I29" s="5">
        <f t="shared" si="0"/>
        <v>0.19</v>
      </c>
      <c r="J29" s="5">
        <f t="shared" si="0"/>
        <v>2.3</v>
      </c>
      <c r="K29" s="5">
        <f t="shared" si="0"/>
        <v>465.4</v>
      </c>
      <c r="L29" s="5">
        <f t="shared" si="0"/>
        <v>60.1</v>
      </c>
      <c r="M29" s="5">
        <f t="shared" si="0"/>
        <v>155.3</v>
      </c>
      <c r="N29" s="5">
        <f t="shared" si="0"/>
        <v>265.78000000000003</v>
      </c>
    </row>
    <row r="30" spans="2:14" ht="12.75">
      <c r="B30" s="15" t="s">
        <v>74</v>
      </c>
      <c r="C30" s="2"/>
      <c r="D30" s="12"/>
      <c r="E30" s="12"/>
      <c r="F30" s="12"/>
      <c r="G30" s="2"/>
      <c r="H30" s="12"/>
      <c r="I30" s="12"/>
      <c r="J30" s="12"/>
      <c r="K30" s="12"/>
      <c r="L30" s="12"/>
      <c r="M30" s="12"/>
      <c r="N30" s="12"/>
    </row>
    <row r="31" spans="2:14" ht="25.5">
      <c r="B31" s="6" t="s">
        <v>115</v>
      </c>
      <c r="C31" s="7" t="s">
        <v>90</v>
      </c>
      <c r="D31" s="10">
        <v>10.4</v>
      </c>
      <c r="E31" s="10">
        <v>8.4</v>
      </c>
      <c r="F31" s="10">
        <v>23.95</v>
      </c>
      <c r="G31" s="10">
        <v>201.2</v>
      </c>
      <c r="H31" s="10">
        <v>1</v>
      </c>
      <c r="I31" s="10">
        <v>0.1</v>
      </c>
      <c r="J31" s="10">
        <v>16.65</v>
      </c>
      <c r="K31" s="10">
        <v>24.45</v>
      </c>
      <c r="L31" s="10">
        <v>40.95</v>
      </c>
      <c r="M31" s="10">
        <v>139.35</v>
      </c>
      <c r="N31" s="10">
        <v>2.23</v>
      </c>
    </row>
    <row r="32" spans="2:14" ht="25.5">
      <c r="B32" s="6" t="s">
        <v>34</v>
      </c>
      <c r="C32" s="7" t="s">
        <v>78</v>
      </c>
      <c r="D32" s="10">
        <v>15.54</v>
      </c>
      <c r="E32" s="10">
        <v>10.65</v>
      </c>
      <c r="F32" s="10">
        <v>15.68</v>
      </c>
      <c r="G32" s="10">
        <v>220.5</v>
      </c>
      <c r="H32" s="10">
        <v>22.5</v>
      </c>
      <c r="I32" s="10">
        <v>0.1</v>
      </c>
      <c r="J32" s="10">
        <v>0.15</v>
      </c>
      <c r="K32" s="10">
        <v>43.4</v>
      </c>
      <c r="L32" s="10">
        <v>24.1</v>
      </c>
      <c r="M32" s="10">
        <v>124.5</v>
      </c>
      <c r="N32" s="10">
        <v>1.5</v>
      </c>
    </row>
    <row r="33" spans="2:14" ht="12.75">
      <c r="B33" s="6" t="s">
        <v>84</v>
      </c>
      <c r="C33" s="7">
        <v>200</v>
      </c>
      <c r="D33" s="10">
        <f>5.5*200/150</f>
        <v>7.333333333333333</v>
      </c>
      <c r="E33" s="10">
        <f>4.8*200/150</f>
        <v>6.4</v>
      </c>
      <c r="F33" s="10">
        <f>39.5*200/150</f>
        <v>52.666666666666664</v>
      </c>
      <c r="G33" s="10">
        <f>213.5*1.33</f>
        <v>283.95500000000004</v>
      </c>
      <c r="H33" s="10">
        <v>0</v>
      </c>
      <c r="I33" s="10">
        <f>0.1*1.33</f>
        <v>0.133</v>
      </c>
      <c r="J33" s="10">
        <v>0</v>
      </c>
      <c r="K33" s="10">
        <f>7.6*1.33</f>
        <v>10.108</v>
      </c>
      <c r="L33" s="10">
        <f>8.5*1.33</f>
        <v>11.305</v>
      </c>
      <c r="M33" s="10">
        <f>46*1.33</f>
        <v>61.18000000000001</v>
      </c>
      <c r="N33" s="10">
        <f>0.6*1.33</f>
        <v>0.798</v>
      </c>
    </row>
    <row r="34" spans="2:14" ht="12.75">
      <c r="B34" s="6" t="s">
        <v>62</v>
      </c>
      <c r="C34" s="7">
        <v>25</v>
      </c>
      <c r="D34" s="10">
        <v>1.9</v>
      </c>
      <c r="E34" s="10">
        <v>0.15</v>
      </c>
      <c r="F34" s="10">
        <v>13</v>
      </c>
      <c r="G34" s="10">
        <v>58</v>
      </c>
      <c r="H34" s="10">
        <v>0</v>
      </c>
      <c r="I34" s="10">
        <v>0</v>
      </c>
      <c r="J34" s="10">
        <v>0</v>
      </c>
      <c r="K34" s="10">
        <v>5</v>
      </c>
      <c r="L34" s="10">
        <v>3.5</v>
      </c>
      <c r="M34" s="10">
        <v>16.3</v>
      </c>
      <c r="N34" s="10">
        <v>0.2</v>
      </c>
    </row>
    <row r="35" spans="2:14" ht="12.75">
      <c r="B35" s="6" t="s">
        <v>36</v>
      </c>
      <c r="C35" s="7" t="s">
        <v>37</v>
      </c>
      <c r="D35" s="10">
        <v>0</v>
      </c>
      <c r="E35" s="10">
        <v>0</v>
      </c>
      <c r="F35" s="10">
        <v>14.35</v>
      </c>
      <c r="G35" s="10">
        <v>58.5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6"/>
      <c r="C36" s="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2:14" ht="12.75">
      <c r="B37" s="16" t="s">
        <v>31</v>
      </c>
      <c r="C37" s="7"/>
      <c r="D37" s="7">
        <f aca="true" t="shared" si="1" ref="D37:N37">SUM(D31:D35)</f>
        <v>35.17333333333333</v>
      </c>
      <c r="E37" s="7">
        <f t="shared" si="1"/>
        <v>25.6</v>
      </c>
      <c r="F37" s="7">
        <f t="shared" si="1"/>
        <v>119.64666666666665</v>
      </c>
      <c r="G37" s="7">
        <f t="shared" si="1"/>
        <v>822.155</v>
      </c>
      <c r="H37" s="7">
        <f t="shared" si="1"/>
        <v>23.5</v>
      </c>
      <c r="I37" s="7">
        <f t="shared" si="1"/>
        <v>0.333</v>
      </c>
      <c r="J37" s="7">
        <f t="shared" si="1"/>
        <v>16.799999999999997</v>
      </c>
      <c r="K37" s="7">
        <f t="shared" si="1"/>
        <v>82.958</v>
      </c>
      <c r="L37" s="7">
        <f t="shared" si="1"/>
        <v>79.85500000000002</v>
      </c>
      <c r="M37" s="7">
        <f t="shared" si="1"/>
        <v>341.33000000000004</v>
      </c>
      <c r="N37" s="7">
        <f t="shared" si="1"/>
        <v>4.728000000000001</v>
      </c>
    </row>
    <row r="38" spans="2:14" ht="12.75">
      <c r="B38" s="16" t="s">
        <v>75</v>
      </c>
      <c r="C38" s="7"/>
      <c r="D38" s="7">
        <f aca="true" t="shared" si="2" ref="D38:N38">D29+D37</f>
        <v>55.74333333333333</v>
      </c>
      <c r="E38" s="7">
        <f t="shared" si="2"/>
        <v>48.730000000000004</v>
      </c>
      <c r="F38" s="7">
        <f t="shared" si="2"/>
        <v>238.74666666666664</v>
      </c>
      <c r="G38" s="7">
        <f t="shared" si="2"/>
        <v>1583.2549999999999</v>
      </c>
      <c r="H38" s="7">
        <f t="shared" si="2"/>
        <v>23.65</v>
      </c>
      <c r="I38" s="7">
        <f t="shared" si="2"/>
        <v>0.523</v>
      </c>
      <c r="J38" s="7">
        <f t="shared" si="2"/>
        <v>19.099999999999998</v>
      </c>
      <c r="K38" s="7">
        <f t="shared" si="2"/>
        <v>548.358</v>
      </c>
      <c r="L38" s="7">
        <f t="shared" si="2"/>
        <v>139.955</v>
      </c>
      <c r="M38" s="7">
        <f t="shared" si="2"/>
        <v>496.63000000000005</v>
      </c>
      <c r="N38" s="7">
        <f t="shared" si="2"/>
        <v>270.50800000000004</v>
      </c>
    </row>
    <row r="39" spans="2:14" ht="12.75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sheetProtection/>
  <mergeCells count="19">
    <mergeCell ref="B3:G5"/>
    <mergeCell ref="B6:G6"/>
    <mergeCell ref="B7:G7"/>
    <mergeCell ref="B8:G8"/>
    <mergeCell ref="B9:G9"/>
    <mergeCell ref="B10:F10"/>
    <mergeCell ref="D20:F20"/>
    <mergeCell ref="H20:J20"/>
    <mergeCell ref="B20:B21"/>
    <mergeCell ref="C20:C21"/>
    <mergeCell ref="G20:G21"/>
    <mergeCell ref="D12:J14"/>
    <mergeCell ref="K20:N20"/>
    <mergeCell ref="I4:N4"/>
    <mergeCell ref="I7:M7"/>
    <mergeCell ref="I10:M10"/>
    <mergeCell ref="K16:M16"/>
    <mergeCell ref="K17:M17"/>
    <mergeCell ref="K18:M18"/>
  </mergeCells>
  <printOptions/>
  <pageMargins left="0.87" right="0.29" top="0.26" bottom="0.48" header="0.28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3:N34"/>
  <sheetViews>
    <sheetView zoomScalePageLayoutView="0" workbookViewId="0" topLeftCell="B1">
      <selection activeCell="F18" sqref="F18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1"/>
      <c r="J3" s="1"/>
      <c r="K3" s="1"/>
      <c r="L3" s="1"/>
      <c r="M3" s="1"/>
    </row>
    <row r="4" spans="2:13" ht="12.75"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</row>
    <row r="5" spans="2:7" ht="12.75">
      <c r="B5" s="20"/>
      <c r="C5" s="20"/>
      <c r="D5" s="20"/>
      <c r="E5" s="20"/>
      <c r="F5" s="20"/>
      <c r="G5" s="20"/>
    </row>
    <row r="6" spans="2:7" ht="12.75">
      <c r="B6" s="20"/>
      <c r="C6" s="20"/>
      <c r="D6" s="20"/>
      <c r="E6" s="20"/>
      <c r="F6" s="20"/>
      <c r="G6" s="20"/>
    </row>
    <row r="7" spans="2:13" ht="12.75">
      <c r="B7" s="20"/>
      <c r="C7" s="20"/>
      <c r="D7" s="20"/>
      <c r="E7" s="20"/>
      <c r="F7" s="20"/>
      <c r="I7" s="20"/>
      <c r="J7" s="20"/>
      <c r="K7" s="20"/>
      <c r="L7" s="20"/>
      <c r="M7" s="20"/>
    </row>
    <row r="9" spans="4:10" ht="12.75">
      <c r="D9" s="28"/>
      <c r="E9" s="28"/>
      <c r="F9" s="28"/>
      <c r="G9" s="28"/>
      <c r="H9" s="28"/>
      <c r="I9" s="28"/>
      <c r="J9" s="28"/>
    </row>
    <row r="10" spans="4:10" ht="12.75">
      <c r="D10" s="28"/>
      <c r="E10" s="28"/>
      <c r="F10" s="28"/>
      <c r="G10" s="28"/>
      <c r="H10" s="28"/>
      <c r="I10" s="28"/>
      <c r="J10" s="28"/>
    </row>
    <row r="11" spans="4:10" ht="12.75">
      <c r="D11" s="28"/>
      <c r="E11" s="28"/>
      <c r="F11" s="28"/>
      <c r="G11" s="28"/>
      <c r="H11" s="28"/>
      <c r="I11" s="28"/>
      <c r="J11" s="28"/>
    </row>
    <row r="13" spans="11:13" ht="12.75">
      <c r="K13" s="27" t="s">
        <v>38</v>
      </c>
      <c r="L13" s="27"/>
      <c r="M13" s="27"/>
    </row>
    <row r="14" spans="11:13" ht="12.75">
      <c r="K14" s="20" t="s">
        <v>11</v>
      </c>
      <c r="L14" s="20"/>
      <c r="M14" s="20"/>
    </row>
    <row r="15" spans="11:13" ht="12.75">
      <c r="K15" s="27" t="s">
        <v>112</v>
      </c>
      <c r="L15" s="27"/>
      <c r="M15" s="27"/>
    </row>
    <row r="17" spans="2:14" ht="25.5" customHeight="1">
      <c r="B17" s="24" t="s">
        <v>12</v>
      </c>
      <c r="C17" s="24" t="s">
        <v>13</v>
      </c>
      <c r="D17" s="21" t="s">
        <v>14</v>
      </c>
      <c r="E17" s="22"/>
      <c r="F17" s="23"/>
      <c r="G17" s="24" t="s">
        <v>15</v>
      </c>
      <c r="H17" s="21" t="s">
        <v>16</v>
      </c>
      <c r="I17" s="22"/>
      <c r="J17" s="23"/>
      <c r="K17" s="21" t="s">
        <v>17</v>
      </c>
      <c r="L17" s="22"/>
      <c r="M17" s="22"/>
      <c r="N17" s="23"/>
    </row>
    <row r="18" spans="2:14" ht="12.75">
      <c r="B18" s="25"/>
      <c r="C18" s="25"/>
      <c r="D18" s="3" t="s">
        <v>131</v>
      </c>
      <c r="E18" s="3" t="s">
        <v>132</v>
      </c>
      <c r="F18" s="3" t="s">
        <v>133</v>
      </c>
      <c r="G18" s="25"/>
      <c r="H18" s="3" t="s">
        <v>21</v>
      </c>
      <c r="I18" s="3" t="s">
        <v>22</v>
      </c>
      <c r="J18" s="3" t="s">
        <v>23</v>
      </c>
      <c r="K18" s="3" t="s">
        <v>24</v>
      </c>
      <c r="L18" s="3" t="s">
        <v>25</v>
      </c>
      <c r="M18" s="3" t="s">
        <v>26</v>
      </c>
      <c r="N18" s="3" t="s">
        <v>27</v>
      </c>
    </row>
    <row r="19" spans="2:14" ht="12.75">
      <c r="B19" s="15" t="s">
        <v>73</v>
      </c>
      <c r="C19" s="2"/>
      <c r="D19" s="11"/>
      <c r="E19" s="11"/>
      <c r="F19" s="11"/>
      <c r="G19" s="9"/>
      <c r="H19" s="11"/>
      <c r="I19" s="11"/>
      <c r="J19" s="11"/>
      <c r="K19" s="11"/>
      <c r="L19" s="11"/>
      <c r="M19" s="11"/>
      <c r="N19" s="11"/>
    </row>
    <row r="20" spans="2:14" ht="12.75">
      <c r="B20" s="4" t="s">
        <v>94</v>
      </c>
      <c r="C20" s="2">
        <v>250</v>
      </c>
      <c r="D20" s="8">
        <v>5.6</v>
      </c>
      <c r="E20" s="8">
        <v>5.8</v>
      </c>
      <c r="F20" s="8">
        <v>21.1</v>
      </c>
      <c r="G20" s="9">
        <v>159.5</v>
      </c>
      <c r="H20" s="8">
        <v>0</v>
      </c>
      <c r="I20" s="8">
        <v>0</v>
      </c>
      <c r="J20" s="8">
        <v>0.6</v>
      </c>
      <c r="K20" s="8">
        <v>141.9</v>
      </c>
      <c r="L20" s="8">
        <v>24.2</v>
      </c>
      <c r="M20" s="8">
        <v>136.3</v>
      </c>
      <c r="N20" s="8">
        <v>0.4</v>
      </c>
    </row>
    <row r="21" spans="2:14" ht="25.5">
      <c r="B21" s="6" t="s">
        <v>117</v>
      </c>
      <c r="C21" s="7">
        <v>100</v>
      </c>
      <c r="D21" s="10">
        <v>10.4</v>
      </c>
      <c r="E21" s="10">
        <v>12.2</v>
      </c>
      <c r="F21" s="10">
        <v>31.1</v>
      </c>
      <c r="G21" s="10">
        <v>267.3</v>
      </c>
      <c r="H21" s="10">
        <v>0</v>
      </c>
      <c r="I21" s="10">
        <v>0.06</v>
      </c>
      <c r="J21" s="10">
        <v>0</v>
      </c>
      <c r="K21" s="10">
        <v>22.8</v>
      </c>
      <c r="L21" s="10">
        <v>17.5</v>
      </c>
      <c r="M21" s="10">
        <v>117.8</v>
      </c>
      <c r="N21" s="10">
        <v>1.4</v>
      </c>
    </row>
    <row r="22" spans="2:14" ht="12.75">
      <c r="B22" s="4" t="s">
        <v>36</v>
      </c>
      <c r="C22" s="2" t="s">
        <v>37</v>
      </c>
      <c r="D22" s="8">
        <v>0</v>
      </c>
      <c r="E22" s="8">
        <v>0</v>
      </c>
      <c r="F22" s="8">
        <v>14.35</v>
      </c>
      <c r="G22" s="9">
        <v>58.5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</row>
    <row r="23" spans="2:14" ht="12.75">
      <c r="B23" s="4" t="s">
        <v>62</v>
      </c>
      <c r="C23" s="2">
        <v>25</v>
      </c>
      <c r="D23" s="8">
        <v>1.9</v>
      </c>
      <c r="E23" s="8">
        <v>0.15</v>
      </c>
      <c r="F23" s="8">
        <v>13</v>
      </c>
      <c r="G23" s="9">
        <v>58</v>
      </c>
      <c r="H23" s="8">
        <v>0</v>
      </c>
      <c r="I23" s="8">
        <v>0</v>
      </c>
      <c r="J23" s="8">
        <v>0</v>
      </c>
      <c r="K23" s="8">
        <v>5</v>
      </c>
      <c r="L23" s="8">
        <v>3.5</v>
      </c>
      <c r="M23" s="8">
        <v>16.3</v>
      </c>
      <c r="N23" s="8">
        <v>0.2</v>
      </c>
    </row>
    <row r="24" spans="2:14" ht="12.75">
      <c r="B24" s="4"/>
      <c r="C24" s="2"/>
      <c r="D24" s="8"/>
      <c r="E24" s="8"/>
      <c r="F24" s="8"/>
      <c r="G24" s="9"/>
      <c r="H24" s="8"/>
      <c r="I24" s="8"/>
      <c r="J24" s="8"/>
      <c r="K24" s="8"/>
      <c r="L24" s="8"/>
      <c r="M24" s="8"/>
      <c r="N24" s="8"/>
    </row>
    <row r="25" spans="2:14" ht="12.75">
      <c r="B25" s="17" t="s">
        <v>31</v>
      </c>
      <c r="C25" s="2"/>
      <c r="D25" s="10">
        <f aca="true" t="shared" si="0" ref="D25:N25">SUM(D20:D22)</f>
        <v>16</v>
      </c>
      <c r="E25" s="10">
        <f t="shared" si="0"/>
        <v>18</v>
      </c>
      <c r="F25" s="10">
        <f t="shared" si="0"/>
        <v>66.55</v>
      </c>
      <c r="G25" s="10">
        <f>SUM(G20:G23)</f>
        <v>543.3</v>
      </c>
      <c r="H25" s="10">
        <f t="shared" si="0"/>
        <v>0</v>
      </c>
      <c r="I25" s="10">
        <f t="shared" si="0"/>
        <v>0.06</v>
      </c>
      <c r="J25" s="10">
        <f t="shared" si="0"/>
        <v>0.6</v>
      </c>
      <c r="K25" s="10">
        <f t="shared" si="0"/>
        <v>164.70000000000002</v>
      </c>
      <c r="L25" s="10">
        <f t="shared" si="0"/>
        <v>41.7</v>
      </c>
      <c r="M25" s="10">
        <f t="shared" si="0"/>
        <v>254.10000000000002</v>
      </c>
      <c r="N25" s="10">
        <f t="shared" si="0"/>
        <v>1.7999999999999998</v>
      </c>
    </row>
    <row r="26" spans="2:14" ht="12.75">
      <c r="B26" s="15" t="s">
        <v>74</v>
      </c>
      <c r="C26" s="2"/>
      <c r="D26" s="11"/>
      <c r="E26" s="11"/>
      <c r="F26" s="11"/>
      <c r="G26" s="9"/>
      <c r="H26" s="11"/>
      <c r="I26" s="11"/>
      <c r="J26" s="11"/>
      <c r="K26" s="11"/>
      <c r="L26" s="11"/>
      <c r="M26" s="11"/>
      <c r="N26" s="11"/>
    </row>
    <row r="27" spans="2:14" ht="25.5">
      <c r="B27" s="6" t="s">
        <v>89</v>
      </c>
      <c r="C27" s="7" t="s">
        <v>90</v>
      </c>
      <c r="D27" s="10">
        <v>7</v>
      </c>
      <c r="E27" s="10">
        <v>15.9</v>
      </c>
      <c r="F27" s="10">
        <v>23.7</v>
      </c>
      <c r="G27" s="10">
        <v>261.2</v>
      </c>
      <c r="H27" s="10">
        <v>0.9</v>
      </c>
      <c r="I27" s="10">
        <v>0.1</v>
      </c>
      <c r="J27" s="10">
        <v>23.1</v>
      </c>
      <c r="K27" s="10">
        <v>19.4</v>
      </c>
      <c r="L27" s="10">
        <v>31.1</v>
      </c>
      <c r="M27" s="10">
        <v>76.5</v>
      </c>
      <c r="N27" s="10">
        <v>1.2</v>
      </c>
    </row>
    <row r="28" spans="2:14" ht="12.75">
      <c r="B28" s="6" t="s">
        <v>39</v>
      </c>
      <c r="C28" s="7">
        <v>250</v>
      </c>
      <c r="D28" s="10">
        <v>20.6</v>
      </c>
      <c r="E28" s="10">
        <v>18.2</v>
      </c>
      <c r="F28" s="10">
        <v>56.3</v>
      </c>
      <c r="G28" s="10">
        <v>457.9</v>
      </c>
      <c r="H28" s="10">
        <v>0.3</v>
      </c>
      <c r="I28" s="10">
        <v>0.1</v>
      </c>
      <c r="J28" s="10">
        <v>5.6</v>
      </c>
      <c r="K28" s="10">
        <v>37.1</v>
      </c>
      <c r="L28" s="10">
        <v>38</v>
      </c>
      <c r="M28" s="10">
        <v>246.8</v>
      </c>
      <c r="N28" s="10">
        <v>3.8</v>
      </c>
    </row>
    <row r="29" spans="2:14" ht="12.75">
      <c r="B29" s="6" t="s">
        <v>62</v>
      </c>
      <c r="C29" s="7">
        <v>25</v>
      </c>
      <c r="D29" s="10">
        <v>1.9</v>
      </c>
      <c r="E29" s="10">
        <v>0.15</v>
      </c>
      <c r="F29" s="10">
        <v>13</v>
      </c>
      <c r="G29" s="10">
        <v>58</v>
      </c>
      <c r="H29" s="10">
        <v>0</v>
      </c>
      <c r="I29" s="10">
        <v>0</v>
      </c>
      <c r="J29" s="10">
        <v>0</v>
      </c>
      <c r="K29" s="10">
        <v>5</v>
      </c>
      <c r="L29" s="10">
        <v>3.5</v>
      </c>
      <c r="M29" s="10">
        <v>16.3</v>
      </c>
      <c r="N29" s="10">
        <v>0.2</v>
      </c>
    </row>
    <row r="30" spans="2:14" ht="12.75">
      <c r="B30" s="6" t="s">
        <v>113</v>
      </c>
      <c r="C30" s="7">
        <v>200</v>
      </c>
      <c r="D30" s="10">
        <v>0</v>
      </c>
      <c r="E30" s="10">
        <v>0</v>
      </c>
      <c r="F30" s="10">
        <v>8.4</v>
      </c>
      <c r="G30" s="10">
        <v>33</v>
      </c>
      <c r="H30" s="10">
        <v>0.5</v>
      </c>
      <c r="I30" s="10">
        <v>0.49</v>
      </c>
      <c r="J30" s="10">
        <v>30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6"/>
      <c r="C31" s="7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12.75">
      <c r="B32" s="16" t="s">
        <v>31</v>
      </c>
      <c r="C32" s="7"/>
      <c r="D32" s="10">
        <f aca="true" t="shared" si="1" ref="D32:N32">SUM(D27:D30)</f>
        <v>29.5</v>
      </c>
      <c r="E32" s="10">
        <f t="shared" si="1"/>
        <v>34.25</v>
      </c>
      <c r="F32" s="10">
        <f t="shared" si="1"/>
        <v>101.4</v>
      </c>
      <c r="G32" s="10">
        <f t="shared" si="1"/>
        <v>810.0999999999999</v>
      </c>
      <c r="H32" s="10">
        <f t="shared" si="1"/>
        <v>1.7</v>
      </c>
      <c r="I32" s="10">
        <f t="shared" si="1"/>
        <v>0.69</v>
      </c>
      <c r="J32" s="10">
        <f t="shared" si="1"/>
        <v>58.7</v>
      </c>
      <c r="K32" s="10">
        <f t="shared" si="1"/>
        <v>61.5</v>
      </c>
      <c r="L32" s="10">
        <f t="shared" si="1"/>
        <v>72.6</v>
      </c>
      <c r="M32" s="10">
        <f t="shared" si="1"/>
        <v>339.6</v>
      </c>
      <c r="N32" s="10">
        <f t="shared" si="1"/>
        <v>5.2</v>
      </c>
    </row>
    <row r="33" spans="2:14" ht="12.75">
      <c r="B33" s="16" t="s">
        <v>75</v>
      </c>
      <c r="C33" s="7"/>
      <c r="D33" s="10">
        <f aca="true" t="shared" si="2" ref="D33:N33">D25+D32</f>
        <v>45.5</v>
      </c>
      <c r="E33" s="10">
        <f t="shared" si="2"/>
        <v>52.25</v>
      </c>
      <c r="F33" s="10">
        <f t="shared" si="2"/>
        <v>167.95</v>
      </c>
      <c r="G33" s="10">
        <f t="shared" si="2"/>
        <v>1353.3999999999999</v>
      </c>
      <c r="H33" s="10">
        <f t="shared" si="2"/>
        <v>1.7</v>
      </c>
      <c r="I33" s="10">
        <f t="shared" si="2"/>
        <v>0.75</v>
      </c>
      <c r="J33" s="10">
        <f t="shared" si="2"/>
        <v>59.300000000000004</v>
      </c>
      <c r="K33" s="10">
        <f t="shared" si="2"/>
        <v>226.20000000000002</v>
      </c>
      <c r="L33" s="10">
        <f t="shared" si="2"/>
        <v>114.3</v>
      </c>
      <c r="M33" s="10">
        <f t="shared" si="2"/>
        <v>593.7</v>
      </c>
      <c r="N33" s="10">
        <f t="shared" si="2"/>
        <v>7</v>
      </c>
    </row>
    <row r="34" spans="2:14" ht="12.75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</sheetData>
  <sheetProtection/>
  <mergeCells count="17">
    <mergeCell ref="I4:M4"/>
    <mergeCell ref="I7:M7"/>
    <mergeCell ref="K13:M13"/>
    <mergeCell ref="K14:M14"/>
    <mergeCell ref="K15:M15"/>
    <mergeCell ref="H17:J17"/>
    <mergeCell ref="B17:B18"/>
    <mergeCell ref="C17:C18"/>
    <mergeCell ref="G17:G18"/>
    <mergeCell ref="D9:J11"/>
    <mergeCell ref="K17:N17"/>
    <mergeCell ref="B3:G3"/>
    <mergeCell ref="B4:G4"/>
    <mergeCell ref="B5:G5"/>
    <mergeCell ref="B6:G6"/>
    <mergeCell ref="B7:F7"/>
    <mergeCell ref="D17:F17"/>
  </mergeCells>
  <printOptions/>
  <pageMargins left="0.87" right="0.29" top="0.26" bottom="0.47" header="0.28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3:N36"/>
  <sheetViews>
    <sheetView zoomScalePageLayoutView="0" workbookViewId="0" topLeftCell="B1">
      <selection activeCell="F18" sqref="F18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1"/>
      <c r="J3" s="1"/>
      <c r="K3" s="1"/>
      <c r="L3" s="1"/>
      <c r="M3" s="1"/>
    </row>
    <row r="4" spans="2:13" ht="12.75"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</row>
    <row r="5" spans="2:7" ht="12.75">
      <c r="B5" s="20"/>
      <c r="C5" s="20"/>
      <c r="D5" s="20"/>
      <c r="E5" s="20"/>
      <c r="F5" s="20"/>
      <c r="G5" s="20"/>
    </row>
    <row r="6" spans="2:7" ht="12.75">
      <c r="B6" s="20"/>
      <c r="C6" s="20"/>
      <c r="D6" s="20"/>
      <c r="E6" s="20"/>
      <c r="F6" s="20"/>
      <c r="G6" s="20"/>
    </row>
    <row r="7" spans="2:13" ht="12.75">
      <c r="B7" s="20"/>
      <c r="C7" s="20"/>
      <c r="D7" s="20"/>
      <c r="E7" s="20"/>
      <c r="F7" s="20"/>
      <c r="I7" s="20"/>
      <c r="J7" s="20"/>
      <c r="K7" s="20"/>
      <c r="L7" s="20"/>
      <c r="M7" s="20"/>
    </row>
    <row r="9" spans="4:10" ht="12.75">
      <c r="D9" s="26" t="s">
        <v>76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1" spans="4:10" ht="12.75">
      <c r="D11" s="26"/>
      <c r="E11" s="26"/>
      <c r="F11" s="26"/>
      <c r="G11" s="26"/>
      <c r="H11" s="26"/>
      <c r="I11" s="26"/>
      <c r="J11" s="26"/>
    </row>
    <row r="13" spans="11:13" ht="12.75">
      <c r="K13" s="27" t="s">
        <v>41</v>
      </c>
      <c r="L13" s="27"/>
      <c r="M13" s="27"/>
    </row>
    <row r="14" spans="11:13" ht="12.75">
      <c r="K14" s="20" t="s">
        <v>11</v>
      </c>
      <c r="L14" s="20"/>
      <c r="M14" s="20"/>
    </row>
    <row r="15" spans="11:13" ht="12.75">
      <c r="K15" s="27" t="s">
        <v>112</v>
      </c>
      <c r="L15" s="27"/>
      <c r="M15" s="27"/>
    </row>
    <row r="17" spans="2:14" ht="25.5" customHeight="1">
      <c r="B17" s="24" t="s">
        <v>12</v>
      </c>
      <c r="C17" s="24" t="s">
        <v>13</v>
      </c>
      <c r="D17" s="21" t="s">
        <v>14</v>
      </c>
      <c r="E17" s="22"/>
      <c r="F17" s="23"/>
      <c r="G17" s="24" t="s">
        <v>15</v>
      </c>
      <c r="H17" s="21" t="s">
        <v>16</v>
      </c>
      <c r="I17" s="22"/>
      <c r="J17" s="23"/>
      <c r="K17" s="21" t="s">
        <v>17</v>
      </c>
      <c r="L17" s="22"/>
      <c r="M17" s="22"/>
      <c r="N17" s="23"/>
    </row>
    <row r="18" spans="2:14" ht="12.75">
      <c r="B18" s="25"/>
      <c r="C18" s="25"/>
      <c r="D18" s="3" t="s">
        <v>131</v>
      </c>
      <c r="E18" s="3" t="s">
        <v>132</v>
      </c>
      <c r="F18" s="3" t="s">
        <v>133</v>
      </c>
      <c r="G18" s="25"/>
      <c r="H18" s="3" t="s">
        <v>21</v>
      </c>
      <c r="I18" s="3" t="s">
        <v>22</v>
      </c>
      <c r="J18" s="3" t="s">
        <v>23</v>
      </c>
      <c r="K18" s="3" t="s">
        <v>24</v>
      </c>
      <c r="L18" s="3" t="s">
        <v>25</v>
      </c>
      <c r="M18" s="3" t="s">
        <v>26</v>
      </c>
      <c r="N18" s="3" t="s">
        <v>27</v>
      </c>
    </row>
    <row r="19" spans="2:14" ht="12.75">
      <c r="B19" s="15" t="s">
        <v>73</v>
      </c>
      <c r="C19" s="2"/>
      <c r="D19" s="11"/>
      <c r="E19" s="11"/>
      <c r="F19" s="11"/>
      <c r="G19" s="9"/>
      <c r="H19" s="11"/>
      <c r="I19" s="11"/>
      <c r="J19" s="11"/>
      <c r="K19" s="11"/>
      <c r="L19" s="11"/>
      <c r="M19" s="11"/>
      <c r="N19" s="11"/>
    </row>
    <row r="20" spans="2:14" ht="12.75">
      <c r="B20" s="4" t="s">
        <v>124</v>
      </c>
      <c r="C20" s="2" t="s">
        <v>48</v>
      </c>
      <c r="D20" s="5">
        <v>6.5</v>
      </c>
      <c r="E20" s="5">
        <v>7.4</v>
      </c>
      <c r="F20" s="5">
        <v>33.9</v>
      </c>
      <c r="G20" s="2">
        <v>220.12</v>
      </c>
      <c r="H20" s="5">
        <v>0.09</v>
      </c>
      <c r="I20" s="5">
        <v>0.2</v>
      </c>
      <c r="J20" s="5">
        <v>0.75</v>
      </c>
      <c r="K20" s="5">
        <v>97.1</v>
      </c>
      <c r="L20" s="5">
        <v>50.9</v>
      </c>
      <c r="M20" s="5">
        <v>159.2</v>
      </c>
      <c r="N20" s="5">
        <v>2.7</v>
      </c>
    </row>
    <row r="21" spans="2:14" ht="25.5">
      <c r="B21" s="4" t="s">
        <v>96</v>
      </c>
      <c r="C21" s="2">
        <v>200</v>
      </c>
      <c r="D21" s="5">
        <v>2.6</v>
      </c>
      <c r="E21" s="5">
        <v>1.9</v>
      </c>
      <c r="F21" s="5">
        <v>22.9</v>
      </c>
      <c r="G21" s="2">
        <v>69</v>
      </c>
      <c r="H21" s="5">
        <v>0.02</v>
      </c>
      <c r="I21" s="5">
        <v>0.01</v>
      </c>
      <c r="J21" s="5">
        <v>0.44</v>
      </c>
      <c r="K21" s="5">
        <v>13.4</v>
      </c>
      <c r="L21" s="5">
        <v>8.9</v>
      </c>
      <c r="M21" s="5">
        <v>14.8</v>
      </c>
      <c r="N21" s="5">
        <v>0.11</v>
      </c>
    </row>
    <row r="22" spans="2:14" ht="12.75">
      <c r="B22" s="4" t="s">
        <v>88</v>
      </c>
      <c r="C22" s="2">
        <v>10</v>
      </c>
      <c r="D22" s="5">
        <v>0.08</v>
      </c>
      <c r="E22" s="5">
        <v>7.25</v>
      </c>
      <c r="F22" s="5">
        <v>0.13</v>
      </c>
      <c r="G22" s="2">
        <v>66.1</v>
      </c>
      <c r="H22" s="5">
        <v>0.04</v>
      </c>
      <c r="I22" s="5">
        <v>0</v>
      </c>
      <c r="J22" s="5">
        <v>0</v>
      </c>
      <c r="K22" s="5">
        <v>2.4</v>
      </c>
      <c r="L22" s="5">
        <v>0.05</v>
      </c>
      <c r="M22" s="5">
        <v>3</v>
      </c>
      <c r="N22" s="5">
        <v>0.02</v>
      </c>
    </row>
    <row r="23" spans="2:14" ht="12.75">
      <c r="B23" s="4" t="s">
        <v>43</v>
      </c>
      <c r="C23" s="2">
        <v>30</v>
      </c>
      <c r="D23" s="5">
        <v>7.95</v>
      </c>
      <c r="E23" s="5">
        <v>8.19</v>
      </c>
      <c r="F23" s="5">
        <v>0</v>
      </c>
      <c r="G23" s="2">
        <v>108.3</v>
      </c>
      <c r="H23" s="5">
        <v>0.08</v>
      </c>
      <c r="I23" s="5">
        <v>0</v>
      </c>
      <c r="J23" s="5">
        <v>0.45</v>
      </c>
      <c r="K23" s="5">
        <v>300</v>
      </c>
      <c r="L23" s="5">
        <v>14.1</v>
      </c>
      <c r="M23" s="5">
        <v>163.2</v>
      </c>
      <c r="N23" s="5">
        <v>0.2</v>
      </c>
    </row>
    <row r="24" spans="2:14" ht="12.75">
      <c r="B24" s="6" t="s">
        <v>62</v>
      </c>
      <c r="C24" s="7">
        <v>25</v>
      </c>
      <c r="D24" s="10">
        <v>1.9</v>
      </c>
      <c r="E24" s="10">
        <v>0.15</v>
      </c>
      <c r="F24" s="10">
        <v>13</v>
      </c>
      <c r="G24" s="10">
        <v>58</v>
      </c>
      <c r="H24" s="10">
        <v>0</v>
      </c>
      <c r="I24" s="10">
        <v>0</v>
      </c>
      <c r="J24" s="10">
        <v>0</v>
      </c>
      <c r="K24" s="10">
        <v>5</v>
      </c>
      <c r="L24" s="10">
        <v>3.5</v>
      </c>
      <c r="M24" s="10">
        <v>16.3</v>
      </c>
      <c r="N24" s="10">
        <v>0.2</v>
      </c>
    </row>
    <row r="25" spans="2:14" ht="12.75">
      <c r="B25" s="4"/>
      <c r="C25" s="2"/>
      <c r="D25" s="8"/>
      <c r="E25" s="8"/>
      <c r="F25" s="8"/>
      <c r="G25" s="9"/>
      <c r="H25" s="8"/>
      <c r="I25" s="8"/>
      <c r="J25" s="8"/>
      <c r="K25" s="8"/>
      <c r="L25" s="8"/>
      <c r="M25" s="8"/>
      <c r="N25" s="8"/>
    </row>
    <row r="26" spans="2:14" ht="12.75">
      <c r="B26" s="17" t="s">
        <v>31</v>
      </c>
      <c r="C26" s="2"/>
      <c r="D26" s="7">
        <f aca="true" t="shared" si="0" ref="D26:N26">SUM(D20:D24)</f>
        <v>19.029999999999998</v>
      </c>
      <c r="E26" s="7">
        <f t="shared" si="0"/>
        <v>24.89</v>
      </c>
      <c r="F26" s="7">
        <f t="shared" si="0"/>
        <v>69.93</v>
      </c>
      <c r="G26" s="7">
        <f t="shared" si="0"/>
        <v>521.52</v>
      </c>
      <c r="H26" s="7">
        <f t="shared" si="0"/>
        <v>0.22999999999999998</v>
      </c>
      <c r="I26" s="7">
        <f t="shared" si="0"/>
        <v>0.21000000000000002</v>
      </c>
      <c r="J26" s="7">
        <f t="shared" si="0"/>
        <v>1.64</v>
      </c>
      <c r="K26" s="7">
        <f t="shared" si="0"/>
        <v>417.9</v>
      </c>
      <c r="L26" s="7">
        <f t="shared" si="0"/>
        <v>77.44999999999999</v>
      </c>
      <c r="M26" s="7">
        <f t="shared" si="0"/>
        <v>356.5</v>
      </c>
      <c r="N26" s="7">
        <f t="shared" si="0"/>
        <v>3.2300000000000004</v>
      </c>
    </row>
    <row r="27" spans="2:14" ht="12.75">
      <c r="B27" s="15" t="s">
        <v>74</v>
      </c>
      <c r="C27" s="2"/>
      <c r="D27" s="12"/>
      <c r="E27" s="12"/>
      <c r="F27" s="12"/>
      <c r="G27" s="2"/>
      <c r="H27" s="12"/>
      <c r="I27" s="12"/>
      <c r="J27" s="12"/>
      <c r="K27" s="12"/>
      <c r="L27" s="12"/>
      <c r="M27" s="12"/>
      <c r="N27" s="12"/>
    </row>
    <row r="28" spans="2:14" ht="25.5">
      <c r="B28" s="4" t="s">
        <v>127</v>
      </c>
      <c r="C28" s="2" t="s">
        <v>90</v>
      </c>
      <c r="D28" s="8">
        <v>4.65</v>
      </c>
      <c r="E28" s="8">
        <v>9</v>
      </c>
      <c r="F28" s="8">
        <v>14.85</v>
      </c>
      <c r="G28" s="9">
        <f>109.6+33.7</f>
        <v>143.3</v>
      </c>
      <c r="H28" s="8">
        <v>0</v>
      </c>
      <c r="I28" s="8">
        <v>0.03</v>
      </c>
      <c r="J28" s="8">
        <v>0.17</v>
      </c>
      <c r="K28" s="8">
        <f>40.7+2.25</f>
        <v>42.95</v>
      </c>
      <c r="L28" s="8">
        <f>28.6+6.75</f>
        <v>35.35</v>
      </c>
      <c r="M28" s="8">
        <f>51.6+0.35</f>
        <v>51.95</v>
      </c>
      <c r="N28" s="8">
        <v>51.4</v>
      </c>
    </row>
    <row r="29" spans="2:14" ht="25.5">
      <c r="B29" s="6" t="s">
        <v>119</v>
      </c>
      <c r="C29" s="7" t="s">
        <v>128</v>
      </c>
      <c r="D29" s="10">
        <f>15.29*2</f>
        <v>30.58</v>
      </c>
      <c r="E29" s="10">
        <f>25.7*2</f>
        <v>51.4</v>
      </c>
      <c r="F29" s="10">
        <v>8.4</v>
      </c>
      <c r="G29" s="10">
        <f>180.45*2</f>
        <v>360.9</v>
      </c>
      <c r="H29" s="10">
        <v>4.08</v>
      </c>
      <c r="I29" s="10">
        <v>0.24</v>
      </c>
      <c r="J29" s="10">
        <v>1.08</v>
      </c>
      <c r="K29" s="10">
        <f>98.45*2</f>
        <v>196.9</v>
      </c>
      <c r="L29" s="10">
        <v>42.2</v>
      </c>
      <c r="M29" s="10">
        <f>242.9*2</f>
        <v>485.8</v>
      </c>
      <c r="N29" s="10">
        <f>2.58*2</f>
        <v>5.16</v>
      </c>
    </row>
    <row r="30" spans="2:14" ht="25.5">
      <c r="B30" s="6" t="s">
        <v>30</v>
      </c>
      <c r="C30" s="7">
        <v>25</v>
      </c>
      <c r="D30" s="10">
        <v>2.02</v>
      </c>
      <c r="E30" s="10">
        <v>0.37</v>
      </c>
      <c r="F30" s="10">
        <v>13.2</v>
      </c>
      <c r="G30" s="10">
        <v>64.5</v>
      </c>
      <c r="H30" s="10">
        <v>0</v>
      </c>
      <c r="I30" s="10">
        <v>0.11</v>
      </c>
      <c r="J30" s="10">
        <v>0</v>
      </c>
      <c r="K30" s="10">
        <v>0</v>
      </c>
      <c r="L30" s="10">
        <v>0</v>
      </c>
      <c r="M30" s="10">
        <v>0</v>
      </c>
      <c r="N30" s="10">
        <v>0.5</v>
      </c>
    </row>
    <row r="31" spans="2:14" ht="12.75">
      <c r="B31" s="6" t="s">
        <v>29</v>
      </c>
      <c r="C31" s="7">
        <v>200</v>
      </c>
      <c r="D31" s="10">
        <v>0.6</v>
      </c>
      <c r="E31" s="10">
        <v>0</v>
      </c>
      <c r="F31" s="10">
        <v>33.6</v>
      </c>
      <c r="G31" s="10">
        <v>129.4</v>
      </c>
      <c r="H31" s="10">
        <v>0</v>
      </c>
      <c r="I31" s="10">
        <v>0</v>
      </c>
      <c r="J31" s="10">
        <v>0.4</v>
      </c>
      <c r="K31" s="10">
        <v>16.6</v>
      </c>
      <c r="L31" s="10">
        <v>0</v>
      </c>
      <c r="M31" s="10">
        <v>9</v>
      </c>
      <c r="N31" s="10">
        <v>2.2</v>
      </c>
    </row>
    <row r="32" spans="2:14" ht="12.75">
      <c r="B32" s="6" t="s">
        <v>108</v>
      </c>
      <c r="C32" s="7">
        <v>50</v>
      </c>
      <c r="D32" s="10">
        <v>5.2</v>
      </c>
      <c r="E32" s="10">
        <v>2.6</v>
      </c>
      <c r="F32" s="10">
        <v>38.4</v>
      </c>
      <c r="G32" s="10">
        <v>188</v>
      </c>
      <c r="H32" s="10">
        <v>0</v>
      </c>
      <c r="I32" s="10">
        <v>0.04</v>
      </c>
      <c r="J32" s="10">
        <v>0</v>
      </c>
      <c r="K32" s="10">
        <v>21.5</v>
      </c>
      <c r="L32" s="10">
        <v>11</v>
      </c>
      <c r="M32" s="10">
        <v>61</v>
      </c>
      <c r="N32" s="10">
        <v>0.9</v>
      </c>
    </row>
    <row r="33" spans="2:14" ht="12.75">
      <c r="B33" s="6"/>
      <c r="C33" s="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12.75">
      <c r="B34" s="16" t="s">
        <v>31</v>
      </c>
      <c r="C34" s="7"/>
      <c r="D34" s="7">
        <f>SUM(D29:D31)</f>
        <v>33.2</v>
      </c>
      <c r="E34" s="7">
        <f>SUM(E29:E31)</f>
        <v>51.769999999999996</v>
      </c>
      <c r="F34" s="7">
        <f>SUM(F29:F31)</f>
        <v>55.2</v>
      </c>
      <c r="G34" s="7">
        <f>SUM(G28:G32)</f>
        <v>886.1</v>
      </c>
      <c r="H34" s="7">
        <f aca="true" t="shared" si="1" ref="H34:N34">SUM(H29:H31)</f>
        <v>4.08</v>
      </c>
      <c r="I34" s="7">
        <f t="shared" si="1"/>
        <v>0.35</v>
      </c>
      <c r="J34" s="7">
        <f t="shared" si="1"/>
        <v>1.48</v>
      </c>
      <c r="K34" s="7">
        <f t="shared" si="1"/>
        <v>213.5</v>
      </c>
      <c r="L34" s="7">
        <f t="shared" si="1"/>
        <v>42.2</v>
      </c>
      <c r="M34" s="7">
        <f t="shared" si="1"/>
        <v>494.8</v>
      </c>
      <c r="N34" s="7">
        <f t="shared" si="1"/>
        <v>7.86</v>
      </c>
    </row>
    <row r="35" spans="2:14" ht="12.75">
      <c r="B35" s="16" t="s">
        <v>75</v>
      </c>
      <c r="C35" s="7"/>
      <c r="D35" s="7">
        <f aca="true" t="shared" si="2" ref="D35:N35">D26+D34</f>
        <v>52.230000000000004</v>
      </c>
      <c r="E35" s="7">
        <f t="shared" si="2"/>
        <v>76.66</v>
      </c>
      <c r="F35" s="7">
        <f t="shared" si="2"/>
        <v>125.13000000000001</v>
      </c>
      <c r="G35" s="7">
        <f t="shared" si="2"/>
        <v>1407.62</v>
      </c>
      <c r="H35" s="7">
        <f t="shared" si="2"/>
        <v>4.3100000000000005</v>
      </c>
      <c r="I35" s="7">
        <f t="shared" si="2"/>
        <v>0.56</v>
      </c>
      <c r="J35" s="7">
        <f t="shared" si="2"/>
        <v>3.12</v>
      </c>
      <c r="K35" s="7">
        <f t="shared" si="2"/>
        <v>631.4</v>
      </c>
      <c r="L35" s="7">
        <f t="shared" si="2"/>
        <v>119.64999999999999</v>
      </c>
      <c r="M35" s="7">
        <f t="shared" si="2"/>
        <v>851.3</v>
      </c>
      <c r="N35" s="7">
        <f t="shared" si="2"/>
        <v>11.09</v>
      </c>
    </row>
    <row r="36" spans="2:14" ht="12.75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</sheetData>
  <sheetProtection/>
  <mergeCells count="17">
    <mergeCell ref="D17:F17"/>
    <mergeCell ref="B17:B18"/>
    <mergeCell ref="C17:C18"/>
    <mergeCell ref="G17:G18"/>
    <mergeCell ref="D9:J11"/>
    <mergeCell ref="K17:N17"/>
    <mergeCell ref="B3:G3"/>
    <mergeCell ref="B4:G4"/>
    <mergeCell ref="B5:G5"/>
    <mergeCell ref="B6:G6"/>
    <mergeCell ref="B7:F7"/>
    <mergeCell ref="I4:M4"/>
    <mergeCell ref="I7:M7"/>
    <mergeCell ref="K13:M13"/>
    <mergeCell ref="K14:M14"/>
    <mergeCell ref="K15:M15"/>
    <mergeCell ref="H17:J17"/>
  </mergeCells>
  <printOptions/>
  <pageMargins left="0.87" right="0.29" top="0.26" bottom="0.76" header="0.28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3:N36"/>
  <sheetViews>
    <sheetView zoomScalePageLayoutView="0" workbookViewId="0" topLeftCell="B1">
      <selection activeCell="F18" sqref="F18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1"/>
      <c r="J3" s="1"/>
      <c r="K3" s="1"/>
      <c r="L3" s="1"/>
      <c r="M3" s="1"/>
    </row>
    <row r="4" spans="2:13" ht="12.75"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</row>
    <row r="5" spans="2:7" ht="12.75">
      <c r="B5" s="20"/>
      <c r="C5" s="20"/>
      <c r="D5" s="20"/>
      <c r="E5" s="20"/>
      <c r="F5" s="20"/>
      <c r="G5" s="20"/>
    </row>
    <row r="6" spans="2:7" ht="12.75">
      <c r="B6" s="20"/>
      <c r="C6" s="20"/>
      <c r="D6" s="20"/>
      <c r="E6" s="20"/>
      <c r="F6" s="20"/>
      <c r="G6" s="20"/>
    </row>
    <row r="7" spans="2:13" ht="12.75">
      <c r="B7" s="20"/>
      <c r="C7" s="20"/>
      <c r="D7" s="20"/>
      <c r="E7" s="20"/>
      <c r="F7" s="20"/>
      <c r="I7" s="20"/>
      <c r="J7" s="20"/>
      <c r="K7" s="20"/>
      <c r="L7" s="20"/>
      <c r="M7" s="20"/>
    </row>
    <row r="9" spans="4:10" ht="12.75">
      <c r="D9" s="26" t="s">
        <v>76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1" spans="4:10" ht="12.75">
      <c r="D11" s="26"/>
      <c r="E11" s="26"/>
      <c r="F11" s="26"/>
      <c r="G11" s="26"/>
      <c r="H11" s="26"/>
      <c r="I11" s="26"/>
      <c r="J11" s="26"/>
    </row>
    <row r="13" spans="11:13" ht="12.75">
      <c r="K13" s="27" t="s">
        <v>46</v>
      </c>
      <c r="L13" s="27"/>
      <c r="M13" s="27"/>
    </row>
    <row r="14" spans="11:13" ht="12.75">
      <c r="K14" s="20" t="s">
        <v>11</v>
      </c>
      <c r="L14" s="20"/>
      <c r="M14" s="20"/>
    </row>
    <row r="15" spans="11:13" ht="12.75">
      <c r="K15" s="27" t="s">
        <v>112</v>
      </c>
      <c r="L15" s="27"/>
      <c r="M15" s="27"/>
    </row>
    <row r="17" spans="2:14" ht="25.5" customHeight="1">
      <c r="B17" s="24" t="s">
        <v>12</v>
      </c>
      <c r="C17" s="24" t="s">
        <v>13</v>
      </c>
      <c r="D17" s="21" t="s">
        <v>14</v>
      </c>
      <c r="E17" s="22"/>
      <c r="F17" s="23"/>
      <c r="G17" s="24" t="s">
        <v>15</v>
      </c>
      <c r="H17" s="21" t="s">
        <v>16</v>
      </c>
      <c r="I17" s="22"/>
      <c r="J17" s="23"/>
      <c r="K17" s="21" t="s">
        <v>17</v>
      </c>
      <c r="L17" s="22"/>
      <c r="M17" s="22"/>
      <c r="N17" s="23"/>
    </row>
    <row r="18" spans="2:14" ht="12.75">
      <c r="B18" s="25"/>
      <c r="C18" s="25"/>
      <c r="D18" s="3" t="s">
        <v>131</v>
      </c>
      <c r="E18" s="3" t="s">
        <v>132</v>
      </c>
      <c r="F18" s="3" t="s">
        <v>133</v>
      </c>
      <c r="G18" s="25"/>
      <c r="H18" s="3" t="s">
        <v>21</v>
      </c>
      <c r="I18" s="3" t="s">
        <v>22</v>
      </c>
      <c r="J18" s="3" t="s">
        <v>23</v>
      </c>
      <c r="K18" s="3" t="s">
        <v>24</v>
      </c>
      <c r="L18" s="3" t="s">
        <v>25</v>
      </c>
      <c r="M18" s="3" t="s">
        <v>26</v>
      </c>
      <c r="N18" s="3" t="s">
        <v>27</v>
      </c>
    </row>
    <row r="19" spans="2:14" ht="12.75">
      <c r="B19" s="15" t="s">
        <v>73</v>
      </c>
      <c r="C19" s="2"/>
      <c r="D19" s="11"/>
      <c r="E19" s="11"/>
      <c r="F19" s="11"/>
      <c r="G19" s="9"/>
      <c r="H19" s="11"/>
      <c r="I19" s="11">
        <v>2.356</v>
      </c>
      <c r="J19" s="11"/>
      <c r="K19" s="11"/>
      <c r="L19" s="11"/>
      <c r="M19" s="11"/>
      <c r="N19" s="11"/>
    </row>
    <row r="20" spans="2:14" ht="12.75">
      <c r="B20" s="4" t="s">
        <v>101</v>
      </c>
      <c r="C20" s="2">
        <v>250</v>
      </c>
      <c r="D20" s="5">
        <v>4.6</v>
      </c>
      <c r="E20" s="5">
        <v>5.7</v>
      </c>
      <c r="F20" s="5">
        <v>20</v>
      </c>
      <c r="G20" s="2">
        <v>145.2</v>
      </c>
      <c r="H20" s="5">
        <v>0</v>
      </c>
      <c r="I20" s="5">
        <v>0</v>
      </c>
      <c r="J20" s="5">
        <v>1.25</v>
      </c>
      <c r="K20" s="5">
        <v>155.3</v>
      </c>
      <c r="L20" s="5">
        <v>20.7</v>
      </c>
      <c r="M20" s="5">
        <v>128.7</v>
      </c>
      <c r="N20" s="5">
        <v>0.4</v>
      </c>
    </row>
    <row r="21" spans="2:14" ht="12.75">
      <c r="B21" s="4" t="s">
        <v>43</v>
      </c>
      <c r="C21" s="2">
        <v>20</v>
      </c>
      <c r="D21" s="5">
        <v>5.3</v>
      </c>
      <c r="E21" s="5">
        <v>5.46</v>
      </c>
      <c r="F21" s="5">
        <v>0</v>
      </c>
      <c r="G21" s="2">
        <v>72.2</v>
      </c>
      <c r="H21" s="5">
        <v>0.05</v>
      </c>
      <c r="I21" s="5">
        <v>0</v>
      </c>
      <c r="J21" s="5">
        <v>0.3</v>
      </c>
      <c r="K21" s="5">
        <v>200</v>
      </c>
      <c r="L21" s="5">
        <v>9.4</v>
      </c>
      <c r="M21" s="5">
        <v>108.8</v>
      </c>
      <c r="N21" s="5">
        <v>0.13</v>
      </c>
    </row>
    <row r="22" spans="2:14" ht="12.75">
      <c r="B22" s="6" t="s">
        <v>62</v>
      </c>
      <c r="C22" s="7">
        <v>25</v>
      </c>
      <c r="D22" s="10">
        <v>1.9</v>
      </c>
      <c r="E22" s="10">
        <v>0.15</v>
      </c>
      <c r="F22" s="10">
        <v>13</v>
      </c>
      <c r="G22" s="10">
        <v>58</v>
      </c>
      <c r="H22" s="10">
        <v>0</v>
      </c>
      <c r="I22" s="10">
        <v>0</v>
      </c>
      <c r="J22" s="10">
        <v>0</v>
      </c>
      <c r="K22" s="10">
        <v>5</v>
      </c>
      <c r="L22" s="10">
        <v>3.5</v>
      </c>
      <c r="M22" s="10">
        <v>16.3</v>
      </c>
      <c r="N22" s="10">
        <v>0.2</v>
      </c>
    </row>
    <row r="23" spans="2:14" ht="12.75">
      <c r="B23" s="4" t="s">
        <v>92</v>
      </c>
      <c r="C23" s="2">
        <v>200</v>
      </c>
      <c r="D23" s="10">
        <v>1.7</v>
      </c>
      <c r="E23" s="10">
        <v>1.5</v>
      </c>
      <c r="F23" s="10">
        <v>17.4</v>
      </c>
      <c r="G23" s="9">
        <v>85.7</v>
      </c>
      <c r="H23" s="10">
        <v>0.02</v>
      </c>
      <c r="I23" s="10">
        <v>0.01</v>
      </c>
      <c r="J23" s="10">
        <v>0.2</v>
      </c>
      <c r="K23" s="10">
        <v>55.1</v>
      </c>
      <c r="L23" s="10">
        <v>8.3</v>
      </c>
      <c r="M23" s="10">
        <v>47.4</v>
      </c>
      <c r="N23" s="10">
        <v>0.07</v>
      </c>
    </row>
    <row r="24" spans="2:14" ht="12.75">
      <c r="B24" s="6" t="s">
        <v>108</v>
      </c>
      <c r="C24" s="7">
        <v>50</v>
      </c>
      <c r="D24" s="7">
        <v>5.2</v>
      </c>
      <c r="E24" s="7">
        <v>2.6</v>
      </c>
      <c r="F24" s="7">
        <v>38.4</v>
      </c>
      <c r="G24" s="7">
        <v>188</v>
      </c>
      <c r="H24" s="7">
        <v>0</v>
      </c>
      <c r="I24" s="7">
        <v>0.04</v>
      </c>
      <c r="J24" s="7">
        <v>0</v>
      </c>
      <c r="K24" s="7">
        <v>21.5</v>
      </c>
      <c r="L24" s="7">
        <v>11</v>
      </c>
      <c r="M24" s="7">
        <v>61</v>
      </c>
      <c r="N24" s="7">
        <v>0.9</v>
      </c>
    </row>
    <row r="25" spans="2:14" ht="12.75">
      <c r="B25" s="4"/>
      <c r="C25" s="2"/>
      <c r="D25" s="8"/>
      <c r="E25" s="8"/>
      <c r="F25" s="8"/>
      <c r="G25" s="9"/>
      <c r="H25" s="8"/>
      <c r="I25" s="8"/>
      <c r="J25" s="8"/>
      <c r="K25" s="8"/>
      <c r="L25" s="8"/>
      <c r="M25" s="8"/>
      <c r="N25" s="8"/>
    </row>
    <row r="26" spans="2:14" ht="12.75">
      <c r="B26" s="17" t="s">
        <v>31</v>
      </c>
      <c r="C26" s="2"/>
      <c r="D26" s="7">
        <f>SUM(D20:D23)</f>
        <v>13.499999999999998</v>
      </c>
      <c r="E26" s="7">
        <f>SUM(E20:E23)</f>
        <v>12.81</v>
      </c>
      <c r="F26" s="7">
        <f>SUM(F20:F23)</f>
        <v>50.4</v>
      </c>
      <c r="G26" s="7">
        <f>SUM(G20:G24)</f>
        <v>549.0999999999999</v>
      </c>
      <c r="H26" s="7">
        <f aca="true" t="shared" si="0" ref="H26:N26">SUM(H20:H23)</f>
        <v>0.07</v>
      </c>
      <c r="I26" s="7">
        <f t="shared" si="0"/>
        <v>0.01</v>
      </c>
      <c r="J26" s="7">
        <f t="shared" si="0"/>
        <v>1.75</v>
      </c>
      <c r="K26" s="7">
        <f t="shared" si="0"/>
        <v>415.40000000000003</v>
      </c>
      <c r="L26" s="7">
        <f t="shared" si="0"/>
        <v>41.900000000000006</v>
      </c>
      <c r="M26" s="7">
        <f t="shared" si="0"/>
        <v>301.2</v>
      </c>
      <c r="N26" s="7">
        <f t="shared" si="0"/>
        <v>0.8</v>
      </c>
    </row>
    <row r="27" spans="2:14" ht="12.75">
      <c r="B27" s="15" t="s">
        <v>74</v>
      </c>
      <c r="C27" s="2"/>
      <c r="D27" s="12"/>
      <c r="E27" s="12"/>
      <c r="F27" s="12"/>
      <c r="G27" s="2"/>
      <c r="H27" s="12"/>
      <c r="I27" s="12"/>
      <c r="J27" s="12"/>
      <c r="K27" s="12"/>
      <c r="L27" s="12"/>
      <c r="M27" s="12"/>
      <c r="N27" s="12"/>
    </row>
    <row r="28" spans="2:14" ht="25.5">
      <c r="B28" s="6" t="s">
        <v>102</v>
      </c>
      <c r="C28" s="7">
        <v>250</v>
      </c>
      <c r="D28" s="10">
        <v>6</v>
      </c>
      <c r="E28" s="10">
        <v>5.4</v>
      </c>
      <c r="F28" s="10">
        <v>23.9</v>
      </c>
      <c r="G28" s="10">
        <v>159.8</v>
      </c>
      <c r="H28" s="10">
        <v>0</v>
      </c>
      <c r="I28" s="10">
        <v>0.16</v>
      </c>
      <c r="J28" s="10">
        <v>11.5</v>
      </c>
      <c r="K28" s="10">
        <v>43.2</v>
      </c>
      <c r="L28" s="10">
        <v>37.3</v>
      </c>
      <c r="M28" s="10">
        <v>148.5</v>
      </c>
      <c r="N28" s="10">
        <v>3.1</v>
      </c>
    </row>
    <row r="29" spans="2:14" ht="25.5">
      <c r="B29" s="6" t="s">
        <v>34</v>
      </c>
      <c r="C29" s="7" t="s">
        <v>78</v>
      </c>
      <c r="D29" s="10">
        <v>16.1</v>
      </c>
      <c r="E29" s="10">
        <v>14.76</v>
      </c>
      <c r="F29" s="10">
        <v>14.05</v>
      </c>
      <c r="G29" s="10">
        <v>250.38</v>
      </c>
      <c r="H29" s="10">
        <v>0</v>
      </c>
      <c r="I29" s="10">
        <v>0.1</v>
      </c>
      <c r="J29" s="10">
        <v>0</v>
      </c>
      <c r="K29" s="10">
        <v>38.66</v>
      </c>
      <c r="L29" s="10">
        <v>21.61</v>
      </c>
      <c r="M29" s="10">
        <v>119.4</v>
      </c>
      <c r="N29" s="10">
        <v>1.45</v>
      </c>
    </row>
    <row r="30" spans="2:14" ht="12.75">
      <c r="B30" s="6" t="s">
        <v>28</v>
      </c>
      <c r="C30" s="7">
        <v>200</v>
      </c>
      <c r="D30" s="10">
        <f>5.5*1.33</f>
        <v>7.315</v>
      </c>
      <c r="E30" s="10">
        <f>4.8*1.33</f>
        <v>6.384</v>
      </c>
      <c r="F30" s="10">
        <f>39.5*1.33</f>
        <v>52.535000000000004</v>
      </c>
      <c r="G30" s="10">
        <f>213.5*1.33</f>
        <v>283.95500000000004</v>
      </c>
      <c r="H30" s="10">
        <v>0</v>
      </c>
      <c r="I30" s="10">
        <f>0.1*1.33</f>
        <v>0.133</v>
      </c>
      <c r="J30" s="10">
        <v>0</v>
      </c>
      <c r="K30" s="10">
        <f>7.6*1.33</f>
        <v>10.108</v>
      </c>
      <c r="L30" s="10">
        <f>8.5*1.33</f>
        <v>11.305</v>
      </c>
      <c r="M30" s="10">
        <f>46*1.33</f>
        <v>61.18000000000001</v>
      </c>
      <c r="N30" s="10">
        <f>0.6*1.33</f>
        <v>0.798</v>
      </c>
    </row>
    <row r="31" spans="2:14" ht="12.75">
      <c r="B31" s="6" t="s">
        <v>62</v>
      </c>
      <c r="C31" s="7">
        <v>25</v>
      </c>
      <c r="D31" s="10">
        <v>1.9</v>
      </c>
      <c r="E31" s="10">
        <v>0.15</v>
      </c>
      <c r="F31" s="10">
        <v>13</v>
      </c>
      <c r="G31" s="10">
        <v>58</v>
      </c>
      <c r="H31" s="10">
        <v>0</v>
      </c>
      <c r="I31" s="10">
        <v>0.11</v>
      </c>
      <c r="J31" s="10">
        <v>0</v>
      </c>
      <c r="K31" s="10">
        <v>5</v>
      </c>
      <c r="L31" s="10">
        <v>3.5</v>
      </c>
      <c r="M31" s="10">
        <v>16.3</v>
      </c>
      <c r="N31" s="10">
        <v>0.2</v>
      </c>
    </row>
    <row r="32" spans="2:14" ht="12.75">
      <c r="B32" s="6" t="s">
        <v>114</v>
      </c>
      <c r="C32" s="7">
        <v>200</v>
      </c>
      <c r="D32" s="10">
        <v>0</v>
      </c>
      <c r="E32" s="10">
        <v>0</v>
      </c>
      <c r="F32" s="10">
        <v>18.4</v>
      </c>
      <c r="G32" s="10">
        <v>74</v>
      </c>
      <c r="H32" s="10">
        <v>0.5</v>
      </c>
      <c r="I32" s="10">
        <v>0.6</v>
      </c>
      <c r="J32" s="10">
        <v>30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6"/>
      <c r="C33" s="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12.75">
      <c r="B34" s="16" t="s">
        <v>31</v>
      </c>
      <c r="C34" s="7"/>
      <c r="D34" s="7">
        <f aca="true" t="shared" si="1" ref="D34:N34">SUM(D28:D32)</f>
        <v>31.315</v>
      </c>
      <c r="E34" s="7">
        <f t="shared" si="1"/>
        <v>26.694</v>
      </c>
      <c r="F34" s="7">
        <f t="shared" si="1"/>
        <v>121.88500000000002</v>
      </c>
      <c r="G34" s="7">
        <f t="shared" si="1"/>
        <v>826.135</v>
      </c>
      <c r="H34" s="7">
        <f t="shared" si="1"/>
        <v>0.5</v>
      </c>
      <c r="I34" s="7">
        <f t="shared" si="1"/>
        <v>1.103</v>
      </c>
      <c r="J34" s="7">
        <f t="shared" si="1"/>
        <v>41.5</v>
      </c>
      <c r="K34" s="7">
        <f t="shared" si="1"/>
        <v>96.968</v>
      </c>
      <c r="L34" s="7">
        <f t="shared" si="1"/>
        <v>73.715</v>
      </c>
      <c r="M34" s="7">
        <f t="shared" si="1"/>
        <v>345.38</v>
      </c>
      <c r="N34" s="7">
        <f t="shared" si="1"/>
        <v>5.548</v>
      </c>
    </row>
    <row r="35" spans="2:14" ht="12.75">
      <c r="B35" s="16" t="s">
        <v>75</v>
      </c>
      <c r="C35" s="7"/>
      <c r="D35" s="7">
        <f aca="true" t="shared" si="2" ref="D35:N35">D26+D34</f>
        <v>44.815</v>
      </c>
      <c r="E35" s="7">
        <f t="shared" si="2"/>
        <v>39.504</v>
      </c>
      <c r="F35" s="7">
        <f t="shared" si="2"/>
        <v>172.28500000000003</v>
      </c>
      <c r="G35" s="7">
        <f t="shared" si="2"/>
        <v>1375.235</v>
      </c>
      <c r="H35" s="7">
        <f t="shared" si="2"/>
        <v>0.5700000000000001</v>
      </c>
      <c r="I35" s="7">
        <f t="shared" si="2"/>
        <v>1.113</v>
      </c>
      <c r="J35" s="7">
        <f t="shared" si="2"/>
        <v>43.25</v>
      </c>
      <c r="K35" s="7">
        <f t="shared" si="2"/>
        <v>512.368</v>
      </c>
      <c r="L35" s="7">
        <f t="shared" si="2"/>
        <v>115.61500000000001</v>
      </c>
      <c r="M35" s="7">
        <f t="shared" si="2"/>
        <v>646.5799999999999</v>
      </c>
      <c r="N35" s="7">
        <f t="shared" si="2"/>
        <v>6.348</v>
      </c>
    </row>
    <row r="36" spans="2:14" ht="12.75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</sheetData>
  <sheetProtection/>
  <mergeCells count="17">
    <mergeCell ref="I4:M4"/>
    <mergeCell ref="I7:M7"/>
    <mergeCell ref="K13:M13"/>
    <mergeCell ref="K14:M14"/>
    <mergeCell ref="K15:M15"/>
    <mergeCell ref="H17:J17"/>
    <mergeCell ref="B17:B18"/>
    <mergeCell ref="C17:C18"/>
    <mergeCell ref="G17:G18"/>
    <mergeCell ref="D9:J11"/>
    <mergeCell ref="K17:N17"/>
    <mergeCell ref="B3:G3"/>
    <mergeCell ref="B4:G4"/>
    <mergeCell ref="B5:G5"/>
    <mergeCell ref="B6:G6"/>
    <mergeCell ref="B7:F7"/>
    <mergeCell ref="D17:F17"/>
  </mergeCells>
  <printOptions/>
  <pageMargins left="0.87" right="0.29" top="0.26" bottom="1" header="0.28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3:N36"/>
  <sheetViews>
    <sheetView zoomScalePageLayoutView="0" workbookViewId="0" topLeftCell="B1">
      <selection activeCell="F18" sqref="F18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1"/>
      <c r="J3" s="1"/>
      <c r="K3" s="1"/>
      <c r="L3" s="1"/>
      <c r="M3" s="1"/>
    </row>
    <row r="4" spans="2:13" ht="12.75"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</row>
    <row r="5" spans="2:7" ht="12.75">
      <c r="B5" s="20"/>
      <c r="C5" s="20"/>
      <c r="D5" s="20"/>
      <c r="E5" s="20"/>
      <c r="F5" s="20"/>
      <c r="G5" s="20"/>
    </row>
    <row r="6" spans="2:7" ht="12.75">
      <c r="B6" s="20"/>
      <c r="C6" s="20"/>
      <c r="D6" s="20"/>
      <c r="E6" s="20"/>
      <c r="F6" s="20"/>
      <c r="G6" s="20"/>
    </row>
    <row r="7" spans="2:13" ht="12.75">
      <c r="B7" s="20"/>
      <c r="C7" s="20"/>
      <c r="D7" s="20"/>
      <c r="E7" s="20"/>
      <c r="F7" s="20"/>
      <c r="I7" s="20"/>
      <c r="J7" s="20"/>
      <c r="K7" s="20"/>
      <c r="L7" s="20"/>
      <c r="M7" s="20"/>
    </row>
    <row r="9" spans="4:10" ht="12.75">
      <c r="D9" s="26" t="s">
        <v>76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1" spans="4:10" ht="12.75">
      <c r="D11" s="26"/>
      <c r="E11" s="26"/>
      <c r="F11" s="26"/>
      <c r="G11" s="26"/>
      <c r="H11" s="26"/>
      <c r="I11" s="26"/>
      <c r="J11" s="26"/>
    </row>
    <row r="13" spans="11:13" ht="12.75">
      <c r="K13" s="27" t="s">
        <v>50</v>
      </c>
      <c r="L13" s="27"/>
      <c r="M13" s="27"/>
    </row>
    <row r="14" spans="11:13" ht="12.75">
      <c r="K14" s="20" t="s">
        <v>11</v>
      </c>
      <c r="L14" s="20"/>
      <c r="M14" s="20"/>
    </row>
    <row r="15" spans="11:13" ht="12.75">
      <c r="K15" s="27" t="s">
        <v>112</v>
      </c>
      <c r="L15" s="27"/>
      <c r="M15" s="27"/>
    </row>
    <row r="17" spans="2:14" ht="25.5" customHeight="1">
      <c r="B17" s="24" t="s">
        <v>12</v>
      </c>
      <c r="C17" s="24" t="s">
        <v>13</v>
      </c>
      <c r="D17" s="21" t="s">
        <v>14</v>
      </c>
      <c r="E17" s="22"/>
      <c r="F17" s="23"/>
      <c r="G17" s="24" t="s">
        <v>15</v>
      </c>
      <c r="H17" s="21" t="s">
        <v>16</v>
      </c>
      <c r="I17" s="22"/>
      <c r="J17" s="23"/>
      <c r="K17" s="21" t="s">
        <v>17</v>
      </c>
      <c r="L17" s="22"/>
      <c r="M17" s="22"/>
      <c r="N17" s="23"/>
    </row>
    <row r="18" spans="2:14" ht="12.75">
      <c r="B18" s="25"/>
      <c r="C18" s="25"/>
      <c r="D18" s="3" t="s">
        <v>131</v>
      </c>
      <c r="E18" s="3" t="s">
        <v>132</v>
      </c>
      <c r="F18" s="3" t="s">
        <v>133</v>
      </c>
      <c r="G18" s="25"/>
      <c r="H18" s="3" t="s">
        <v>21</v>
      </c>
      <c r="I18" s="3" t="s">
        <v>22</v>
      </c>
      <c r="J18" s="3" t="s">
        <v>23</v>
      </c>
      <c r="K18" s="3" t="s">
        <v>24</v>
      </c>
      <c r="L18" s="3" t="s">
        <v>25</v>
      </c>
      <c r="M18" s="3" t="s">
        <v>26</v>
      </c>
      <c r="N18" s="3" t="s">
        <v>27</v>
      </c>
    </row>
    <row r="19" spans="2:14" ht="12.75">
      <c r="B19" s="15" t="s">
        <v>73</v>
      </c>
      <c r="C19" s="2"/>
      <c r="D19" s="11"/>
      <c r="E19" s="11"/>
      <c r="F19" s="11"/>
      <c r="G19" s="9"/>
      <c r="H19" s="11"/>
      <c r="I19" s="11"/>
      <c r="J19" s="11"/>
      <c r="K19" s="11"/>
      <c r="L19" s="11"/>
      <c r="M19" s="11"/>
      <c r="N19" s="11"/>
    </row>
    <row r="20" spans="2:14" ht="12.75">
      <c r="B20" s="4" t="s">
        <v>94</v>
      </c>
      <c r="C20" s="2">
        <v>250</v>
      </c>
      <c r="D20" s="8">
        <v>5.6</v>
      </c>
      <c r="E20" s="8">
        <v>5.8</v>
      </c>
      <c r="F20" s="8">
        <v>21.1</v>
      </c>
      <c r="G20" s="9">
        <v>159.5</v>
      </c>
      <c r="H20" s="8">
        <v>0</v>
      </c>
      <c r="I20" s="8">
        <v>0</v>
      </c>
      <c r="J20" s="8">
        <v>0.6</v>
      </c>
      <c r="K20" s="8">
        <v>141.9</v>
      </c>
      <c r="L20" s="8">
        <v>24.2</v>
      </c>
      <c r="M20" s="8">
        <v>136.3</v>
      </c>
      <c r="N20" s="8">
        <v>0.4</v>
      </c>
    </row>
    <row r="21" spans="2:14" ht="25.5">
      <c r="B21" s="4" t="s">
        <v>30</v>
      </c>
      <c r="C21" s="2">
        <v>25</v>
      </c>
      <c r="D21" s="8">
        <v>2.02</v>
      </c>
      <c r="E21" s="8">
        <v>0.37</v>
      </c>
      <c r="F21" s="8">
        <v>13.2</v>
      </c>
      <c r="G21" s="9">
        <v>64.5</v>
      </c>
      <c r="H21" s="8">
        <v>0</v>
      </c>
      <c r="I21" s="8">
        <v>0.11</v>
      </c>
      <c r="J21" s="8">
        <v>0</v>
      </c>
      <c r="K21" s="8">
        <v>0</v>
      </c>
      <c r="L21" s="8">
        <v>0</v>
      </c>
      <c r="M21" s="8">
        <v>0</v>
      </c>
      <c r="N21" s="8">
        <v>0.5</v>
      </c>
    </row>
    <row r="22" spans="2:14" ht="12.75">
      <c r="B22" s="6" t="s">
        <v>88</v>
      </c>
      <c r="C22" s="7">
        <v>10</v>
      </c>
      <c r="D22" s="10">
        <v>0.13</v>
      </c>
      <c r="E22" s="10">
        <v>7.25</v>
      </c>
      <c r="F22" s="10">
        <v>0.09</v>
      </c>
      <c r="G22" s="10">
        <v>66.1</v>
      </c>
      <c r="H22" s="10">
        <v>0.04</v>
      </c>
      <c r="I22" s="10">
        <v>0.04</v>
      </c>
      <c r="J22" s="10">
        <v>0</v>
      </c>
      <c r="K22" s="10">
        <v>2.4</v>
      </c>
      <c r="L22" s="10">
        <v>0.3</v>
      </c>
      <c r="M22" s="10">
        <v>2</v>
      </c>
      <c r="N22" s="10">
        <v>0.02</v>
      </c>
    </row>
    <row r="23" spans="2:14" ht="12.75">
      <c r="B23" s="4" t="s">
        <v>45</v>
      </c>
      <c r="C23" s="2">
        <v>200</v>
      </c>
      <c r="D23" s="10">
        <v>3.7</v>
      </c>
      <c r="E23" s="10">
        <v>3.9</v>
      </c>
      <c r="F23" s="10">
        <v>24.8</v>
      </c>
      <c r="G23" s="9">
        <v>147.7</v>
      </c>
      <c r="H23" s="10">
        <v>0.04</v>
      </c>
      <c r="I23" s="10">
        <v>0.02</v>
      </c>
      <c r="J23" s="10">
        <v>1</v>
      </c>
      <c r="K23" s="10">
        <v>120.7</v>
      </c>
      <c r="L23" s="10">
        <v>17.6</v>
      </c>
      <c r="M23" s="10">
        <v>0.6</v>
      </c>
      <c r="N23" s="10">
        <v>125.6</v>
      </c>
    </row>
    <row r="24" spans="2:14" ht="12.75">
      <c r="B24" s="4" t="s">
        <v>43</v>
      </c>
      <c r="C24" s="2">
        <v>30</v>
      </c>
      <c r="D24" s="10">
        <v>7.95</v>
      </c>
      <c r="E24" s="10">
        <v>8.19</v>
      </c>
      <c r="F24" s="10">
        <v>0</v>
      </c>
      <c r="G24" s="9">
        <v>108.3</v>
      </c>
      <c r="H24" s="10">
        <v>0.08</v>
      </c>
      <c r="I24" s="10">
        <v>0</v>
      </c>
      <c r="J24" s="10">
        <v>0.45</v>
      </c>
      <c r="K24" s="10">
        <v>300</v>
      </c>
      <c r="L24" s="10">
        <v>14.1</v>
      </c>
      <c r="M24" s="10">
        <v>163.2</v>
      </c>
      <c r="N24" s="10">
        <v>0.2</v>
      </c>
    </row>
    <row r="25" spans="2:14" ht="12.75">
      <c r="B25" s="4"/>
      <c r="C25" s="2"/>
      <c r="D25" s="8"/>
      <c r="E25" s="8"/>
      <c r="F25" s="8"/>
      <c r="G25" s="9"/>
      <c r="H25" s="8"/>
      <c r="I25" s="8"/>
      <c r="J25" s="8"/>
      <c r="K25" s="8"/>
      <c r="L25" s="8"/>
      <c r="M25" s="8"/>
      <c r="N25" s="8"/>
    </row>
    <row r="26" spans="2:14" ht="12.75">
      <c r="B26" s="17" t="s">
        <v>31</v>
      </c>
      <c r="C26" s="2"/>
      <c r="D26" s="10">
        <f aca="true" t="shared" si="0" ref="D26:N26">SUM(D20:D23)</f>
        <v>11.45</v>
      </c>
      <c r="E26" s="10">
        <f t="shared" si="0"/>
        <v>17.32</v>
      </c>
      <c r="F26" s="10">
        <f t="shared" si="0"/>
        <v>59.19</v>
      </c>
      <c r="G26" s="10">
        <f>SUM(G20:G24)</f>
        <v>546.1</v>
      </c>
      <c r="H26" s="10">
        <f t="shared" si="0"/>
        <v>0.08</v>
      </c>
      <c r="I26" s="10">
        <f t="shared" si="0"/>
        <v>0.16999999999999998</v>
      </c>
      <c r="J26" s="10">
        <f t="shared" si="0"/>
        <v>1.6</v>
      </c>
      <c r="K26" s="10">
        <f t="shared" si="0"/>
        <v>265</v>
      </c>
      <c r="L26" s="10">
        <f t="shared" si="0"/>
        <v>42.1</v>
      </c>
      <c r="M26" s="10">
        <f t="shared" si="0"/>
        <v>138.9</v>
      </c>
      <c r="N26" s="10">
        <f t="shared" si="0"/>
        <v>126.52</v>
      </c>
    </row>
    <row r="27" spans="2:14" ht="12.75">
      <c r="B27" s="15" t="s">
        <v>74</v>
      </c>
      <c r="C27" s="2"/>
      <c r="D27" s="11"/>
      <c r="E27" s="11"/>
      <c r="F27" s="11"/>
      <c r="G27" s="9"/>
      <c r="H27" s="11"/>
      <c r="I27" s="11"/>
      <c r="J27" s="11"/>
      <c r="K27" s="11"/>
      <c r="L27" s="11"/>
      <c r="M27" s="11"/>
      <c r="N27" s="11"/>
    </row>
    <row r="28" spans="2:14" ht="12.75">
      <c r="B28" s="4" t="s">
        <v>93</v>
      </c>
      <c r="C28" s="2">
        <v>250</v>
      </c>
      <c r="D28" s="11">
        <v>7.4</v>
      </c>
      <c r="E28" s="11">
        <v>20.1</v>
      </c>
      <c r="F28" s="11">
        <v>42.1</v>
      </c>
      <c r="G28" s="9">
        <v>84.5</v>
      </c>
      <c r="H28" s="11">
        <v>0</v>
      </c>
      <c r="I28" s="11">
        <v>0</v>
      </c>
      <c r="J28" s="11">
        <v>32.9</v>
      </c>
      <c r="K28" s="11">
        <v>32.2</v>
      </c>
      <c r="L28" s="11">
        <v>17.3</v>
      </c>
      <c r="M28" s="11">
        <v>40.7</v>
      </c>
      <c r="N28" s="11">
        <v>17.9</v>
      </c>
    </row>
    <row r="29" spans="2:14" ht="12.75">
      <c r="B29" s="4" t="s">
        <v>51</v>
      </c>
      <c r="C29" s="2" t="s">
        <v>80</v>
      </c>
      <c r="D29" s="5">
        <f>24*100/75</f>
        <v>32</v>
      </c>
      <c r="E29" s="5">
        <f>22.2*100/75</f>
        <v>29.6</v>
      </c>
      <c r="F29" s="5">
        <f>8.7*100/75</f>
        <v>11.599999999999998</v>
      </c>
      <c r="G29" s="2">
        <v>405.6</v>
      </c>
      <c r="H29" s="5">
        <v>0</v>
      </c>
      <c r="I29" s="5">
        <f>0.15*100/75</f>
        <v>0.2</v>
      </c>
      <c r="J29" s="5">
        <f>6.9*100/75</f>
        <v>9.2</v>
      </c>
      <c r="K29" s="5">
        <f>22.2*100/75</f>
        <v>29.6</v>
      </c>
      <c r="L29" s="5">
        <f>28.95*100/75</f>
        <v>38.6</v>
      </c>
      <c r="M29" s="5">
        <f>265.35*100/75</f>
        <v>353.80000000000007</v>
      </c>
      <c r="N29" s="5">
        <f>3.45*100/75</f>
        <v>4.6</v>
      </c>
    </row>
    <row r="30" spans="2:14" ht="12.75">
      <c r="B30" s="6" t="s">
        <v>52</v>
      </c>
      <c r="C30" s="7">
        <v>200</v>
      </c>
      <c r="D30" s="10">
        <f>7.95*200/150</f>
        <v>10.6</v>
      </c>
      <c r="E30" s="10">
        <f>5.85*200/150</f>
        <v>7.8</v>
      </c>
      <c r="F30" s="10">
        <f>46.2*200/150</f>
        <v>61.6</v>
      </c>
      <c r="G30" s="10">
        <f>245.1*200/150</f>
        <v>326.8</v>
      </c>
      <c r="H30" s="10">
        <v>0</v>
      </c>
      <c r="I30" s="10">
        <f>0.3*200/150</f>
        <v>0.4</v>
      </c>
      <c r="J30" s="10">
        <v>0</v>
      </c>
      <c r="K30" s="10">
        <f>44.85*200/150</f>
        <v>59.8</v>
      </c>
      <c r="L30" s="10">
        <f>61.05*200/150</f>
        <v>81.4</v>
      </c>
      <c r="M30" s="10">
        <f>176.45*200/150</f>
        <v>235.26666666666668</v>
      </c>
      <c r="N30" s="10">
        <f>4.95*200/150</f>
        <v>6.6</v>
      </c>
    </row>
    <row r="31" spans="2:14" ht="12.75">
      <c r="B31" s="6" t="s">
        <v>62</v>
      </c>
      <c r="C31" s="7">
        <v>25</v>
      </c>
      <c r="D31" s="10">
        <v>1.9</v>
      </c>
      <c r="E31" s="10">
        <v>0.15</v>
      </c>
      <c r="F31" s="10">
        <v>13</v>
      </c>
      <c r="G31" s="10">
        <v>58</v>
      </c>
      <c r="H31" s="10">
        <v>0</v>
      </c>
      <c r="I31" s="10">
        <v>0.11</v>
      </c>
      <c r="J31" s="10">
        <v>0</v>
      </c>
      <c r="K31" s="10">
        <v>5</v>
      </c>
      <c r="L31" s="10">
        <v>3.5</v>
      </c>
      <c r="M31" s="10">
        <v>16.3</v>
      </c>
      <c r="N31" s="10">
        <v>0.2</v>
      </c>
    </row>
    <row r="32" spans="2:14" ht="12.75">
      <c r="B32" s="6" t="s">
        <v>36</v>
      </c>
      <c r="C32" s="7" t="s">
        <v>37</v>
      </c>
      <c r="D32" s="10">
        <v>0</v>
      </c>
      <c r="E32" s="10">
        <v>0</v>
      </c>
      <c r="F32" s="10">
        <v>14.35</v>
      </c>
      <c r="G32" s="10">
        <v>58.5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6"/>
      <c r="C33" s="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12.75">
      <c r="B34" s="16" t="s">
        <v>31</v>
      </c>
      <c r="C34" s="7"/>
      <c r="D34" s="10">
        <f>SUM(D29:D32)</f>
        <v>44.5</v>
      </c>
      <c r="E34" s="10">
        <f>SUM(E29:E32)</f>
        <v>37.55</v>
      </c>
      <c r="F34" s="10">
        <f>SUM(F29:F32)</f>
        <v>100.55</v>
      </c>
      <c r="G34" s="10">
        <f>SUM(G28:G32)</f>
        <v>933.4000000000001</v>
      </c>
      <c r="H34" s="10">
        <f aca="true" t="shared" si="1" ref="H34:N34">SUM(H29:H32)</f>
        <v>0</v>
      </c>
      <c r="I34" s="10">
        <f t="shared" si="1"/>
        <v>0.7100000000000001</v>
      </c>
      <c r="J34" s="10">
        <f t="shared" si="1"/>
        <v>9.2</v>
      </c>
      <c r="K34" s="10">
        <f t="shared" si="1"/>
        <v>94.4</v>
      </c>
      <c r="L34" s="10">
        <f t="shared" si="1"/>
        <v>123.5</v>
      </c>
      <c r="M34" s="10">
        <f t="shared" si="1"/>
        <v>605.3666666666667</v>
      </c>
      <c r="N34" s="10">
        <f t="shared" si="1"/>
        <v>11.399999999999999</v>
      </c>
    </row>
    <row r="35" spans="2:14" ht="12.75">
      <c r="B35" s="16" t="s">
        <v>75</v>
      </c>
      <c r="C35" s="7"/>
      <c r="D35" s="10">
        <f aca="true" t="shared" si="2" ref="D35:N35">D26+D34</f>
        <v>55.95</v>
      </c>
      <c r="E35" s="10">
        <f t="shared" si="2"/>
        <v>54.87</v>
      </c>
      <c r="F35" s="10">
        <f t="shared" si="2"/>
        <v>159.74</v>
      </c>
      <c r="G35" s="10">
        <f t="shared" si="2"/>
        <v>1479.5</v>
      </c>
      <c r="H35" s="10">
        <f t="shared" si="2"/>
        <v>0.08</v>
      </c>
      <c r="I35" s="10">
        <f t="shared" si="2"/>
        <v>0.8800000000000001</v>
      </c>
      <c r="J35" s="10">
        <f t="shared" si="2"/>
        <v>10.799999999999999</v>
      </c>
      <c r="K35" s="10">
        <f t="shared" si="2"/>
        <v>359.4</v>
      </c>
      <c r="L35" s="10">
        <f t="shared" si="2"/>
        <v>165.6</v>
      </c>
      <c r="M35" s="10">
        <f t="shared" si="2"/>
        <v>744.2666666666667</v>
      </c>
      <c r="N35" s="10">
        <f t="shared" si="2"/>
        <v>137.92</v>
      </c>
    </row>
    <row r="36" spans="2:14" ht="12.75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</sheetData>
  <sheetProtection/>
  <mergeCells count="17">
    <mergeCell ref="D17:F17"/>
    <mergeCell ref="B17:B18"/>
    <mergeCell ref="C17:C18"/>
    <mergeCell ref="G17:G18"/>
    <mergeCell ref="D9:J11"/>
    <mergeCell ref="K17:N17"/>
    <mergeCell ref="B3:G3"/>
    <mergeCell ref="B4:G4"/>
    <mergeCell ref="B5:G5"/>
    <mergeCell ref="B6:G6"/>
    <mergeCell ref="B7:F7"/>
    <mergeCell ref="I4:M4"/>
    <mergeCell ref="I7:M7"/>
    <mergeCell ref="K13:M13"/>
    <mergeCell ref="K14:M14"/>
    <mergeCell ref="K15:M15"/>
    <mergeCell ref="H17:J17"/>
  </mergeCells>
  <printOptions/>
  <pageMargins left="0.87" right="0.29" top="0.26" bottom="1" header="0.28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3:O36"/>
  <sheetViews>
    <sheetView zoomScalePageLayoutView="0" workbookViewId="0" topLeftCell="B1">
      <selection activeCell="F18" sqref="F18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1"/>
      <c r="J3" s="1"/>
      <c r="K3" s="1"/>
      <c r="L3" s="1"/>
      <c r="M3" s="1"/>
    </row>
    <row r="4" spans="2:13" ht="12.75"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</row>
    <row r="5" spans="2:7" ht="12.75">
      <c r="B5" s="20"/>
      <c r="C5" s="20"/>
      <c r="D5" s="20"/>
      <c r="E5" s="20"/>
      <c r="F5" s="20"/>
      <c r="G5" s="20"/>
    </row>
    <row r="6" spans="2:7" ht="12.75">
      <c r="B6" s="20"/>
      <c r="C6" s="20"/>
      <c r="D6" s="20"/>
      <c r="E6" s="20"/>
      <c r="F6" s="20"/>
      <c r="G6" s="20"/>
    </row>
    <row r="7" spans="2:13" ht="12.75">
      <c r="B7" s="20"/>
      <c r="C7" s="20"/>
      <c r="D7" s="20"/>
      <c r="E7" s="20"/>
      <c r="F7" s="20"/>
      <c r="I7" s="20"/>
      <c r="J7" s="20"/>
      <c r="K7" s="20"/>
      <c r="L7" s="20"/>
      <c r="M7" s="20"/>
    </row>
    <row r="9" spans="4:10" ht="12.75">
      <c r="D9" s="26" t="s">
        <v>76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1" spans="4:10" ht="12.75">
      <c r="D11" s="26"/>
      <c r="E11" s="26"/>
      <c r="F11" s="26"/>
      <c r="G11" s="26"/>
      <c r="H11" s="26"/>
      <c r="I11" s="26"/>
      <c r="J11" s="26"/>
    </row>
    <row r="13" spans="11:13" ht="12.75">
      <c r="K13" s="27" t="s">
        <v>53</v>
      </c>
      <c r="L13" s="27"/>
      <c r="M13" s="27"/>
    </row>
    <row r="14" spans="11:13" ht="12.75">
      <c r="K14" s="20" t="s">
        <v>11</v>
      </c>
      <c r="L14" s="20"/>
      <c r="M14" s="20"/>
    </row>
    <row r="15" spans="11:13" ht="12.75">
      <c r="K15" s="27" t="s">
        <v>112</v>
      </c>
      <c r="L15" s="27"/>
      <c r="M15" s="27"/>
    </row>
    <row r="17" spans="2:14" ht="25.5" customHeight="1">
      <c r="B17" s="24" t="s">
        <v>12</v>
      </c>
      <c r="C17" s="24" t="s">
        <v>13</v>
      </c>
      <c r="D17" s="21" t="s">
        <v>14</v>
      </c>
      <c r="E17" s="22"/>
      <c r="F17" s="23"/>
      <c r="G17" s="24" t="s">
        <v>15</v>
      </c>
      <c r="H17" s="21" t="s">
        <v>16</v>
      </c>
      <c r="I17" s="22"/>
      <c r="J17" s="23"/>
      <c r="K17" s="21" t="s">
        <v>17</v>
      </c>
      <c r="L17" s="22"/>
      <c r="M17" s="22"/>
      <c r="N17" s="23"/>
    </row>
    <row r="18" spans="2:14" ht="12.75">
      <c r="B18" s="25"/>
      <c r="C18" s="25"/>
      <c r="D18" s="3" t="s">
        <v>131</v>
      </c>
      <c r="E18" s="3" t="s">
        <v>132</v>
      </c>
      <c r="F18" s="3" t="s">
        <v>133</v>
      </c>
      <c r="G18" s="25"/>
      <c r="H18" s="3" t="s">
        <v>21</v>
      </c>
      <c r="I18" s="3" t="s">
        <v>22</v>
      </c>
      <c r="J18" s="3" t="s">
        <v>23</v>
      </c>
      <c r="K18" s="3" t="s">
        <v>24</v>
      </c>
      <c r="L18" s="3" t="s">
        <v>25</v>
      </c>
      <c r="M18" s="3" t="s">
        <v>26</v>
      </c>
      <c r="N18" s="3" t="s">
        <v>27</v>
      </c>
    </row>
    <row r="19" spans="2:14" ht="12.75">
      <c r="B19" s="15" t="s">
        <v>73</v>
      </c>
      <c r="C19" s="2"/>
      <c r="D19" s="11"/>
      <c r="E19" s="11"/>
      <c r="F19" s="11"/>
      <c r="G19" s="9"/>
      <c r="H19" s="11"/>
      <c r="I19" s="11"/>
      <c r="J19" s="11"/>
      <c r="K19" s="11"/>
      <c r="L19" s="11"/>
      <c r="M19" s="11"/>
      <c r="N19" s="11"/>
    </row>
    <row r="20" spans="2:14" ht="25.5">
      <c r="B20" s="4" t="s">
        <v>95</v>
      </c>
      <c r="C20" s="2" t="s">
        <v>48</v>
      </c>
      <c r="D20" s="5">
        <v>7.7</v>
      </c>
      <c r="E20" s="5">
        <v>8.8</v>
      </c>
      <c r="F20" s="5">
        <v>42.8</v>
      </c>
      <c r="G20" s="2">
        <v>272.5</v>
      </c>
      <c r="H20" s="5">
        <v>0.13</v>
      </c>
      <c r="I20" s="5">
        <v>0.1</v>
      </c>
      <c r="J20" s="5">
        <v>1.3</v>
      </c>
      <c r="K20" s="5">
        <v>128.9</v>
      </c>
      <c r="L20" s="5">
        <v>27</v>
      </c>
      <c r="M20" s="5">
        <v>133</v>
      </c>
      <c r="N20" s="5">
        <v>2</v>
      </c>
    </row>
    <row r="21" spans="2:14" ht="25.5">
      <c r="B21" s="4" t="s">
        <v>49</v>
      </c>
      <c r="C21" s="2">
        <v>100</v>
      </c>
      <c r="D21" s="5">
        <v>10.4</v>
      </c>
      <c r="E21" s="5">
        <v>12.2</v>
      </c>
      <c r="F21" s="5">
        <v>31.1</v>
      </c>
      <c r="G21" s="2">
        <v>267.3</v>
      </c>
      <c r="H21" s="5">
        <v>0</v>
      </c>
      <c r="I21" s="5">
        <v>0.06</v>
      </c>
      <c r="J21" s="5">
        <v>0</v>
      </c>
      <c r="K21" s="5">
        <v>22.8</v>
      </c>
      <c r="L21" s="5">
        <v>17.5</v>
      </c>
      <c r="M21" s="5">
        <v>117.8</v>
      </c>
      <c r="N21" s="5">
        <v>1.4</v>
      </c>
    </row>
    <row r="22" spans="2:14" ht="12.75">
      <c r="B22" s="6" t="s">
        <v>62</v>
      </c>
      <c r="C22" s="7">
        <v>25</v>
      </c>
      <c r="D22" s="10">
        <v>1.9</v>
      </c>
      <c r="E22" s="10">
        <v>0.15</v>
      </c>
      <c r="F22" s="10">
        <v>13</v>
      </c>
      <c r="G22" s="10">
        <v>58</v>
      </c>
      <c r="H22" s="10">
        <v>0</v>
      </c>
      <c r="I22" s="10">
        <v>0</v>
      </c>
      <c r="J22" s="10">
        <v>0</v>
      </c>
      <c r="K22" s="10">
        <v>5</v>
      </c>
      <c r="L22" s="10">
        <v>3.5</v>
      </c>
      <c r="M22" s="10">
        <v>16.3</v>
      </c>
      <c r="N22" s="10">
        <v>0.2</v>
      </c>
    </row>
    <row r="23" spans="2:15" ht="25.5">
      <c r="B23" s="4" t="s">
        <v>96</v>
      </c>
      <c r="C23" s="2">
        <v>200</v>
      </c>
      <c r="D23" s="10">
        <v>2.6</v>
      </c>
      <c r="E23" s="10">
        <v>1.9</v>
      </c>
      <c r="F23" s="10">
        <v>22.9</v>
      </c>
      <c r="G23" s="9">
        <v>69</v>
      </c>
      <c r="H23" s="10">
        <v>0.02</v>
      </c>
      <c r="I23" s="10">
        <v>0.01</v>
      </c>
      <c r="J23" s="10">
        <v>0.44</v>
      </c>
      <c r="K23" s="10">
        <v>13.4</v>
      </c>
      <c r="L23" s="10">
        <v>8.9</v>
      </c>
      <c r="M23" s="10">
        <v>14.8</v>
      </c>
      <c r="N23" s="10">
        <v>0.11</v>
      </c>
      <c r="O23" s="13"/>
    </row>
    <row r="24" spans="2:15" ht="12.75">
      <c r="B24" s="4" t="s">
        <v>108</v>
      </c>
      <c r="C24" s="2">
        <v>50</v>
      </c>
      <c r="D24" s="10">
        <v>3.75</v>
      </c>
      <c r="E24" s="10">
        <v>5.9</v>
      </c>
      <c r="F24" s="10">
        <v>36.5</v>
      </c>
      <c r="G24" s="9">
        <v>218</v>
      </c>
      <c r="H24" s="10">
        <v>0</v>
      </c>
      <c r="I24" s="10">
        <v>0.04</v>
      </c>
      <c r="J24" s="10">
        <v>0</v>
      </c>
      <c r="K24" s="10">
        <v>14.5</v>
      </c>
      <c r="L24" s="10">
        <v>10</v>
      </c>
      <c r="M24" s="10">
        <v>45</v>
      </c>
      <c r="N24" s="10">
        <v>1.05</v>
      </c>
      <c r="O24" s="14"/>
    </row>
    <row r="25" spans="2:14" ht="12.75">
      <c r="B25" s="4"/>
      <c r="C25" s="2"/>
      <c r="D25" s="8"/>
      <c r="E25" s="8"/>
      <c r="F25" s="8"/>
      <c r="G25" s="9"/>
      <c r="H25" s="8"/>
      <c r="I25" s="8"/>
      <c r="J25" s="8"/>
      <c r="K25" s="8"/>
      <c r="L25" s="8"/>
      <c r="M25" s="8"/>
      <c r="N25" s="8"/>
    </row>
    <row r="26" spans="2:14" ht="12.75">
      <c r="B26" s="17" t="s">
        <v>31</v>
      </c>
      <c r="C26" s="2"/>
      <c r="D26" s="7">
        <f aca="true" t="shared" si="0" ref="D26:N26">SUM(D20:D23)</f>
        <v>22.6</v>
      </c>
      <c r="E26" s="7">
        <f t="shared" si="0"/>
        <v>23.049999999999997</v>
      </c>
      <c r="F26" s="7">
        <f t="shared" si="0"/>
        <v>109.80000000000001</v>
      </c>
      <c r="G26" s="7">
        <f>SUM(G20:G24)</f>
        <v>884.8</v>
      </c>
      <c r="H26" s="7">
        <f t="shared" si="0"/>
        <v>0.15</v>
      </c>
      <c r="I26" s="7">
        <f t="shared" si="0"/>
        <v>0.17</v>
      </c>
      <c r="J26" s="7">
        <f t="shared" si="0"/>
        <v>1.74</v>
      </c>
      <c r="K26" s="7">
        <f t="shared" si="0"/>
        <v>170.10000000000002</v>
      </c>
      <c r="L26" s="7">
        <f t="shared" si="0"/>
        <v>56.9</v>
      </c>
      <c r="M26" s="7">
        <f t="shared" si="0"/>
        <v>281.90000000000003</v>
      </c>
      <c r="N26" s="7">
        <f t="shared" si="0"/>
        <v>3.71</v>
      </c>
    </row>
    <row r="27" spans="2:14" ht="12.75">
      <c r="B27" s="15" t="s">
        <v>74</v>
      </c>
      <c r="C27" s="2"/>
      <c r="D27" s="12"/>
      <c r="E27" s="12"/>
      <c r="F27" s="12"/>
      <c r="G27" s="2"/>
      <c r="H27" s="12"/>
      <c r="I27" s="12"/>
      <c r="J27" s="12"/>
      <c r="K27" s="12"/>
      <c r="L27" s="12"/>
      <c r="M27" s="12"/>
      <c r="N27" s="12"/>
    </row>
    <row r="28" spans="2:14" ht="25.5">
      <c r="B28" s="6" t="s">
        <v>121</v>
      </c>
      <c r="C28" s="7">
        <v>250</v>
      </c>
      <c r="D28" s="10">
        <v>2.7</v>
      </c>
      <c r="E28" s="10">
        <v>0.4</v>
      </c>
      <c r="F28" s="10">
        <v>23.8</v>
      </c>
      <c r="G28" s="10">
        <v>124.7</v>
      </c>
      <c r="H28" s="10">
        <v>0.9</v>
      </c>
      <c r="I28" s="10">
        <v>0.1</v>
      </c>
      <c r="J28" s="10">
        <v>1.65</v>
      </c>
      <c r="K28" s="10">
        <v>19.5</v>
      </c>
      <c r="L28" s="10">
        <v>31.8</v>
      </c>
      <c r="M28" s="10">
        <v>58</v>
      </c>
      <c r="N28" s="10">
        <v>1.2</v>
      </c>
    </row>
    <row r="29" spans="2:14" ht="25.5">
      <c r="B29" s="6" t="s">
        <v>122</v>
      </c>
      <c r="C29" s="7" t="s">
        <v>80</v>
      </c>
      <c r="D29" s="10">
        <f>17.5*100/75</f>
        <v>23.333333333333332</v>
      </c>
      <c r="E29" s="10">
        <f>6.75*100/75</f>
        <v>9</v>
      </c>
      <c r="F29" s="10">
        <f>8*100/75</f>
        <v>10.666666666666666</v>
      </c>
      <c r="G29" s="10">
        <f>159.1*100/75</f>
        <v>212.13333333333333</v>
      </c>
      <c r="H29" s="10">
        <f>3.26*100/75</f>
        <v>4.346666666666667</v>
      </c>
      <c r="I29" s="10">
        <f>0.07*100/75</f>
        <v>0.09333333333333335</v>
      </c>
      <c r="J29" s="10">
        <f>6.85*100/75</f>
        <v>9.133333333333333</v>
      </c>
      <c r="K29" s="10">
        <f>67.51*100/75</f>
        <v>90.01333333333335</v>
      </c>
      <c r="L29" s="10">
        <f>57.1*100/75</f>
        <v>76.13333333333334</v>
      </c>
      <c r="M29" s="10">
        <f>3.4*100/75</f>
        <v>4.533333333333333</v>
      </c>
      <c r="N29" s="10">
        <f>36.15*100/75</f>
        <v>48.2</v>
      </c>
    </row>
    <row r="30" spans="2:14" ht="12.75">
      <c r="B30" s="6" t="s">
        <v>60</v>
      </c>
      <c r="C30" s="7">
        <v>200</v>
      </c>
      <c r="D30" s="10">
        <f>3.2*200/150</f>
        <v>4.266666666666667</v>
      </c>
      <c r="E30" s="10">
        <f>5.2*200/150</f>
        <v>6.933333333333334</v>
      </c>
      <c r="F30" s="10">
        <f>26.4*200/150</f>
        <v>35.2</v>
      </c>
      <c r="G30" s="10">
        <f>158.7*200/150</f>
        <v>211.59999999999997</v>
      </c>
      <c r="H30" s="10">
        <f>0.04*200/150</f>
        <v>0.05333333333333334</v>
      </c>
      <c r="I30" s="10">
        <f>0.15*200/150</f>
        <v>0.2</v>
      </c>
      <c r="J30" s="10">
        <f>25.8*200/150</f>
        <v>34.4</v>
      </c>
      <c r="K30" s="10">
        <f>40.4*200/150</f>
        <v>53.86666666666667</v>
      </c>
      <c r="L30" s="10">
        <f>33.6*200/150</f>
        <v>44.8</v>
      </c>
      <c r="M30" s="10">
        <f>1.2*200/150</f>
        <v>1.6</v>
      </c>
      <c r="N30" s="10">
        <f>97.9*200/150</f>
        <v>130.53333333333333</v>
      </c>
    </row>
    <row r="31" spans="2:14" ht="25.5">
      <c r="B31" s="6" t="s">
        <v>30</v>
      </c>
      <c r="C31" s="7">
        <v>25</v>
      </c>
      <c r="D31" s="10">
        <v>2.02</v>
      </c>
      <c r="E31" s="10">
        <v>0.37</v>
      </c>
      <c r="F31" s="10">
        <v>13.2</v>
      </c>
      <c r="G31" s="10">
        <v>64.5</v>
      </c>
      <c r="H31" s="10">
        <v>0</v>
      </c>
      <c r="I31" s="10">
        <v>0.11</v>
      </c>
      <c r="J31" s="10">
        <v>0</v>
      </c>
      <c r="K31" s="10">
        <v>0</v>
      </c>
      <c r="L31" s="10">
        <v>0</v>
      </c>
      <c r="M31" s="10">
        <v>0</v>
      </c>
      <c r="N31" s="10">
        <v>0.5</v>
      </c>
    </row>
    <row r="32" spans="2:14" ht="12.75">
      <c r="B32" s="6" t="s">
        <v>99</v>
      </c>
      <c r="C32" s="7">
        <v>200</v>
      </c>
      <c r="D32" s="10">
        <v>0</v>
      </c>
      <c r="E32" s="10">
        <v>0</v>
      </c>
      <c r="F32" s="10">
        <v>9.9</v>
      </c>
      <c r="G32" s="10">
        <v>37.4</v>
      </c>
      <c r="H32" s="10">
        <v>0</v>
      </c>
      <c r="I32" s="10">
        <v>0</v>
      </c>
      <c r="J32" s="10">
        <v>0</v>
      </c>
      <c r="K32" s="10">
        <v>0.2</v>
      </c>
      <c r="L32" s="10">
        <v>0</v>
      </c>
      <c r="M32" s="10">
        <v>0.3</v>
      </c>
      <c r="N32" s="10">
        <v>0</v>
      </c>
    </row>
    <row r="33" spans="2:14" ht="12.75">
      <c r="B33" s="6"/>
      <c r="C33" s="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12.75">
      <c r="B34" s="16" t="s">
        <v>31</v>
      </c>
      <c r="C34" s="7"/>
      <c r="D34" s="10">
        <f aca="true" t="shared" si="1" ref="D34:N34">SUM(D28:D32)</f>
        <v>32.32</v>
      </c>
      <c r="E34" s="10">
        <f t="shared" si="1"/>
        <v>16.703333333333337</v>
      </c>
      <c r="F34" s="10">
        <f t="shared" si="1"/>
        <v>92.76666666666668</v>
      </c>
      <c r="G34" s="10">
        <f t="shared" si="1"/>
        <v>650.3333333333333</v>
      </c>
      <c r="H34" s="10">
        <f t="shared" si="1"/>
        <v>5.300000000000001</v>
      </c>
      <c r="I34" s="10">
        <f t="shared" si="1"/>
        <v>0.5033333333333334</v>
      </c>
      <c r="J34" s="10">
        <f t="shared" si="1"/>
        <v>45.18333333333333</v>
      </c>
      <c r="K34" s="10">
        <f t="shared" si="1"/>
        <v>163.58</v>
      </c>
      <c r="L34" s="10">
        <f t="shared" si="1"/>
        <v>152.73333333333335</v>
      </c>
      <c r="M34" s="10">
        <f t="shared" si="1"/>
        <v>64.43333333333332</v>
      </c>
      <c r="N34" s="10">
        <f t="shared" si="1"/>
        <v>180.43333333333334</v>
      </c>
    </row>
    <row r="35" spans="2:14" ht="12.75">
      <c r="B35" s="16" t="s">
        <v>75</v>
      </c>
      <c r="C35" s="7"/>
      <c r="D35" s="10">
        <f aca="true" t="shared" si="2" ref="D35:N35">D26+D34</f>
        <v>54.92</v>
      </c>
      <c r="E35" s="10">
        <f t="shared" si="2"/>
        <v>39.75333333333333</v>
      </c>
      <c r="F35" s="10">
        <f t="shared" si="2"/>
        <v>202.5666666666667</v>
      </c>
      <c r="G35" s="10">
        <f t="shared" si="2"/>
        <v>1535.1333333333332</v>
      </c>
      <c r="H35" s="10">
        <f t="shared" si="2"/>
        <v>5.450000000000001</v>
      </c>
      <c r="I35" s="10">
        <f t="shared" si="2"/>
        <v>0.6733333333333335</v>
      </c>
      <c r="J35" s="10">
        <f t="shared" si="2"/>
        <v>46.92333333333333</v>
      </c>
      <c r="K35" s="10">
        <f t="shared" si="2"/>
        <v>333.68000000000006</v>
      </c>
      <c r="L35" s="10">
        <f t="shared" si="2"/>
        <v>209.63333333333335</v>
      </c>
      <c r="M35" s="10">
        <f t="shared" si="2"/>
        <v>346.33333333333337</v>
      </c>
      <c r="N35" s="10">
        <f t="shared" si="2"/>
        <v>184.14333333333335</v>
      </c>
    </row>
    <row r="36" spans="2:14" ht="12.75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</sheetData>
  <sheetProtection/>
  <mergeCells count="17">
    <mergeCell ref="I4:M4"/>
    <mergeCell ref="I7:M7"/>
    <mergeCell ref="K13:M13"/>
    <mergeCell ref="K14:M14"/>
    <mergeCell ref="K15:M15"/>
    <mergeCell ref="H17:J17"/>
    <mergeCell ref="B17:B18"/>
    <mergeCell ref="C17:C18"/>
    <mergeCell ref="G17:G18"/>
    <mergeCell ref="D9:J11"/>
    <mergeCell ref="K17:N17"/>
    <mergeCell ref="B3:G3"/>
    <mergeCell ref="B4:G4"/>
    <mergeCell ref="B5:G5"/>
    <mergeCell ref="B6:G6"/>
    <mergeCell ref="B7:F7"/>
    <mergeCell ref="D17:F17"/>
  </mergeCells>
  <printOptions/>
  <pageMargins left="0.87" right="0.29" top="0.26" bottom="0.3" header="0.28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3:N37"/>
  <sheetViews>
    <sheetView zoomScalePageLayoutView="0" workbookViewId="0" topLeftCell="B1">
      <selection activeCell="F18" sqref="F18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1"/>
      <c r="J3" s="1"/>
      <c r="K3" s="1"/>
      <c r="L3" s="1"/>
      <c r="M3" s="1"/>
    </row>
    <row r="4" spans="2:13" ht="12.75"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</row>
    <row r="5" spans="2:7" ht="12.75">
      <c r="B5" s="20"/>
      <c r="C5" s="20"/>
      <c r="D5" s="20"/>
      <c r="E5" s="20"/>
      <c r="F5" s="20"/>
      <c r="G5" s="20"/>
    </row>
    <row r="6" spans="2:7" ht="12.75">
      <c r="B6" s="20"/>
      <c r="C6" s="20"/>
      <c r="D6" s="20"/>
      <c r="E6" s="20"/>
      <c r="F6" s="20"/>
      <c r="G6" s="20"/>
    </row>
    <row r="7" spans="2:13" ht="12.75">
      <c r="B7" s="20"/>
      <c r="C7" s="20"/>
      <c r="D7" s="20"/>
      <c r="E7" s="20"/>
      <c r="F7" s="20"/>
      <c r="I7" s="20"/>
      <c r="J7" s="20"/>
      <c r="K7" s="20"/>
      <c r="L7" s="20"/>
      <c r="M7" s="20"/>
    </row>
    <row r="9" spans="4:10" ht="12.75">
      <c r="D9" s="26" t="s">
        <v>76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1" spans="4:10" ht="12.75">
      <c r="D11" s="26"/>
      <c r="E11" s="26"/>
      <c r="F11" s="26"/>
      <c r="G11" s="26"/>
      <c r="H11" s="26"/>
      <c r="I11" s="26"/>
      <c r="J11" s="26"/>
    </row>
    <row r="13" spans="11:13" ht="12.75">
      <c r="K13" s="27" t="s">
        <v>58</v>
      </c>
      <c r="L13" s="27"/>
      <c r="M13" s="27"/>
    </row>
    <row r="14" spans="11:13" ht="12.75">
      <c r="K14" s="20" t="s">
        <v>11</v>
      </c>
      <c r="L14" s="20"/>
      <c r="M14" s="20"/>
    </row>
    <row r="15" spans="11:13" ht="12.75">
      <c r="K15" s="27" t="s">
        <v>112</v>
      </c>
      <c r="L15" s="27"/>
      <c r="M15" s="27"/>
    </row>
    <row r="17" spans="2:14" ht="25.5" customHeight="1">
      <c r="B17" s="24" t="s">
        <v>12</v>
      </c>
      <c r="C17" s="24" t="s">
        <v>13</v>
      </c>
      <c r="D17" s="21" t="s">
        <v>14</v>
      </c>
      <c r="E17" s="22"/>
      <c r="F17" s="23"/>
      <c r="G17" s="24" t="s">
        <v>15</v>
      </c>
      <c r="H17" s="21" t="s">
        <v>16</v>
      </c>
      <c r="I17" s="22"/>
      <c r="J17" s="23"/>
      <c r="K17" s="21" t="s">
        <v>17</v>
      </c>
      <c r="L17" s="22"/>
      <c r="M17" s="22"/>
      <c r="N17" s="23"/>
    </row>
    <row r="18" spans="2:14" ht="12.75">
      <c r="B18" s="25"/>
      <c r="C18" s="25"/>
      <c r="D18" s="3" t="s">
        <v>131</v>
      </c>
      <c r="E18" s="3" t="s">
        <v>132</v>
      </c>
      <c r="F18" s="3" t="s">
        <v>133</v>
      </c>
      <c r="G18" s="25"/>
      <c r="H18" s="3" t="s">
        <v>21</v>
      </c>
      <c r="I18" s="3" t="s">
        <v>22</v>
      </c>
      <c r="J18" s="3" t="s">
        <v>23</v>
      </c>
      <c r="K18" s="3" t="s">
        <v>24</v>
      </c>
      <c r="L18" s="3" t="s">
        <v>25</v>
      </c>
      <c r="M18" s="3" t="s">
        <v>26</v>
      </c>
      <c r="N18" s="3" t="s">
        <v>27</v>
      </c>
    </row>
    <row r="19" spans="2:14" ht="12.75">
      <c r="B19" s="15" t="s">
        <v>73</v>
      </c>
      <c r="C19" s="2"/>
      <c r="D19" s="11"/>
      <c r="E19" s="11"/>
      <c r="F19" s="11"/>
      <c r="G19" s="9"/>
      <c r="H19" s="11"/>
      <c r="I19" s="11"/>
      <c r="J19" s="11"/>
      <c r="K19" s="11"/>
      <c r="L19" s="11"/>
      <c r="M19" s="11"/>
      <c r="N19" s="11"/>
    </row>
    <row r="20" spans="2:14" ht="25.5">
      <c r="B20" s="4" t="s">
        <v>85</v>
      </c>
      <c r="C20" s="2" t="s">
        <v>48</v>
      </c>
      <c r="D20" s="5">
        <v>6.5</v>
      </c>
      <c r="E20" s="5">
        <v>7.4</v>
      </c>
      <c r="F20" s="5">
        <v>33.9</v>
      </c>
      <c r="G20" s="2">
        <v>220.12</v>
      </c>
      <c r="H20" s="5">
        <v>0.09</v>
      </c>
      <c r="I20" s="5">
        <v>0.2</v>
      </c>
      <c r="J20" s="5">
        <v>0.75</v>
      </c>
      <c r="K20" s="5">
        <v>97.1</v>
      </c>
      <c r="L20" s="5">
        <v>50.9</v>
      </c>
      <c r="M20" s="5">
        <v>159.2</v>
      </c>
      <c r="N20" s="5">
        <v>2.7</v>
      </c>
    </row>
    <row r="21" spans="2:14" ht="12.75">
      <c r="B21" s="4" t="s">
        <v>62</v>
      </c>
      <c r="C21" s="2">
        <v>25</v>
      </c>
      <c r="D21" s="5">
        <v>1.9</v>
      </c>
      <c r="E21" s="5">
        <v>0.15</v>
      </c>
      <c r="F21" s="5">
        <v>13</v>
      </c>
      <c r="G21" s="2">
        <v>58</v>
      </c>
      <c r="H21" s="5">
        <v>0</v>
      </c>
      <c r="I21" s="5">
        <v>0.11</v>
      </c>
      <c r="J21" s="5">
        <v>0</v>
      </c>
      <c r="K21" s="5">
        <v>5</v>
      </c>
      <c r="L21" s="5">
        <v>3.5</v>
      </c>
      <c r="M21" s="5">
        <v>16.3</v>
      </c>
      <c r="N21" s="5">
        <v>0.2</v>
      </c>
    </row>
    <row r="22" spans="2:14" ht="12.75">
      <c r="B22" s="6" t="s">
        <v>92</v>
      </c>
      <c r="C22" s="7">
        <v>200</v>
      </c>
      <c r="D22" s="10">
        <v>1.7</v>
      </c>
      <c r="E22" s="10">
        <v>1.5</v>
      </c>
      <c r="F22" s="10">
        <v>17.4</v>
      </c>
      <c r="G22" s="10">
        <v>85.7</v>
      </c>
      <c r="H22" s="10">
        <v>0.02</v>
      </c>
      <c r="I22" s="10">
        <v>0.01</v>
      </c>
      <c r="J22" s="10">
        <v>0.2</v>
      </c>
      <c r="K22" s="10">
        <v>55.1</v>
      </c>
      <c r="L22" s="10">
        <v>8.3</v>
      </c>
      <c r="M22" s="10">
        <v>47.4</v>
      </c>
      <c r="N22" s="10">
        <v>0.07</v>
      </c>
    </row>
    <row r="23" spans="2:14" ht="12.75">
      <c r="B23" s="4" t="s">
        <v>88</v>
      </c>
      <c r="C23" s="2">
        <v>15</v>
      </c>
      <c r="D23" s="10">
        <v>0.12</v>
      </c>
      <c r="E23" s="10">
        <v>10.88</v>
      </c>
      <c r="F23" s="10">
        <v>0.2</v>
      </c>
      <c r="G23" s="9">
        <v>99.15</v>
      </c>
      <c r="H23" s="10">
        <v>0.06</v>
      </c>
      <c r="I23" s="10">
        <v>0</v>
      </c>
      <c r="J23" s="10">
        <v>0</v>
      </c>
      <c r="K23" s="10">
        <v>3.6</v>
      </c>
      <c r="L23" s="10">
        <v>0.08</v>
      </c>
      <c r="M23" s="10">
        <v>4.5</v>
      </c>
      <c r="N23" s="10">
        <v>0.03</v>
      </c>
    </row>
    <row r="24" spans="2:14" ht="12.75">
      <c r="B24" s="4" t="s">
        <v>43</v>
      </c>
      <c r="C24" s="2">
        <v>20</v>
      </c>
      <c r="D24" s="10">
        <v>5.3</v>
      </c>
      <c r="E24" s="10">
        <v>5.46</v>
      </c>
      <c r="F24" s="10">
        <v>0</v>
      </c>
      <c r="G24" s="9">
        <v>72.2</v>
      </c>
      <c r="H24" s="10">
        <v>0.05</v>
      </c>
      <c r="I24" s="10">
        <v>0</v>
      </c>
      <c r="J24" s="10">
        <v>0.3</v>
      </c>
      <c r="K24" s="10">
        <v>200</v>
      </c>
      <c r="L24" s="10">
        <v>9.4</v>
      </c>
      <c r="M24" s="10">
        <v>108.8</v>
      </c>
      <c r="N24" s="10">
        <v>0.13</v>
      </c>
    </row>
    <row r="25" spans="2:14" ht="12.75">
      <c r="B25" s="4" t="s">
        <v>108</v>
      </c>
      <c r="C25" s="2">
        <v>40</v>
      </c>
      <c r="D25" s="10">
        <v>4.16</v>
      </c>
      <c r="E25" s="10">
        <v>2.08</v>
      </c>
      <c r="F25" s="10">
        <v>30.72</v>
      </c>
      <c r="G25" s="9">
        <v>150.4</v>
      </c>
      <c r="H25" s="10">
        <v>0</v>
      </c>
      <c r="I25" s="10">
        <v>0.04</v>
      </c>
      <c r="J25" s="10">
        <v>0</v>
      </c>
      <c r="K25" s="10">
        <v>17.2</v>
      </c>
      <c r="L25" s="10">
        <v>8.8</v>
      </c>
      <c r="M25" s="10">
        <v>48.8</v>
      </c>
      <c r="N25" s="10">
        <v>0.72</v>
      </c>
    </row>
    <row r="26" spans="2:14" ht="12.75">
      <c r="B26" s="4"/>
      <c r="C26" s="2"/>
      <c r="D26" s="8"/>
      <c r="E26" s="8"/>
      <c r="F26" s="8"/>
      <c r="G26" s="9"/>
      <c r="H26" s="8"/>
      <c r="I26" s="8"/>
      <c r="J26" s="8"/>
      <c r="K26" s="8"/>
      <c r="L26" s="8"/>
      <c r="M26" s="8"/>
      <c r="N26" s="8"/>
    </row>
    <row r="27" spans="2:14" ht="12.75">
      <c r="B27" s="17" t="s">
        <v>31</v>
      </c>
      <c r="C27" s="2"/>
      <c r="D27" s="7">
        <f aca="true" t="shared" si="0" ref="D27:N27">SUM(D20:D22)</f>
        <v>10.1</v>
      </c>
      <c r="E27" s="7">
        <f t="shared" si="0"/>
        <v>9.05</v>
      </c>
      <c r="F27" s="7">
        <f t="shared" si="0"/>
        <v>64.3</v>
      </c>
      <c r="G27" s="7">
        <f t="shared" si="0"/>
        <v>363.82</v>
      </c>
      <c r="H27" s="7">
        <f t="shared" si="0"/>
        <v>0.11</v>
      </c>
      <c r="I27" s="7">
        <f t="shared" si="0"/>
        <v>0.32</v>
      </c>
      <c r="J27" s="7">
        <f t="shared" si="0"/>
        <v>0.95</v>
      </c>
      <c r="K27" s="7">
        <f t="shared" si="0"/>
        <v>157.2</v>
      </c>
      <c r="L27" s="7">
        <f t="shared" si="0"/>
        <v>62.7</v>
      </c>
      <c r="M27" s="7">
        <f t="shared" si="0"/>
        <v>222.9</v>
      </c>
      <c r="N27" s="7">
        <f t="shared" si="0"/>
        <v>2.97</v>
      </c>
    </row>
    <row r="28" spans="2:14" ht="12.75">
      <c r="B28" s="15" t="s">
        <v>74</v>
      </c>
      <c r="C28" s="2"/>
      <c r="D28" s="12"/>
      <c r="E28" s="12"/>
      <c r="F28" s="12"/>
      <c r="G28" s="2"/>
      <c r="H28" s="12"/>
      <c r="I28" s="12"/>
      <c r="J28" s="12"/>
      <c r="K28" s="12"/>
      <c r="L28" s="12"/>
      <c r="M28" s="12"/>
      <c r="N28" s="12"/>
    </row>
    <row r="29" spans="2:14" ht="12.75">
      <c r="B29" s="6" t="s">
        <v>100</v>
      </c>
      <c r="C29" s="7">
        <v>250</v>
      </c>
      <c r="D29" s="10">
        <v>2</v>
      </c>
      <c r="E29" s="10">
        <v>5</v>
      </c>
      <c r="F29" s="10">
        <v>14.65</v>
      </c>
      <c r="G29" s="10">
        <v>109.2</v>
      </c>
      <c r="H29" s="10">
        <v>0</v>
      </c>
      <c r="I29" s="10">
        <v>0</v>
      </c>
      <c r="J29" s="10">
        <v>24.8</v>
      </c>
      <c r="K29" s="10">
        <v>40.7</v>
      </c>
      <c r="L29" s="10">
        <v>28.6</v>
      </c>
      <c r="M29" s="10">
        <v>51.6</v>
      </c>
      <c r="N29" s="10">
        <v>1.4</v>
      </c>
    </row>
    <row r="30" spans="2:14" ht="25.5">
      <c r="B30" s="6" t="s">
        <v>97</v>
      </c>
      <c r="C30" s="7" t="s">
        <v>80</v>
      </c>
      <c r="D30" s="10">
        <f>36.8*100/80</f>
        <v>45.99999999999999</v>
      </c>
      <c r="E30" s="10">
        <f>18.66*100/80</f>
        <v>23.325</v>
      </c>
      <c r="F30" s="10">
        <f>67.2*100/80</f>
        <v>84</v>
      </c>
      <c r="G30" s="10">
        <f>339.94*100/80</f>
        <v>424.925</v>
      </c>
      <c r="H30" s="10">
        <f>0.1*100/80</f>
        <v>0.125</v>
      </c>
      <c r="I30" s="10">
        <f>2.45*100/80</f>
        <v>3.0625000000000004</v>
      </c>
      <c r="J30" s="10">
        <f>0.1*100/80</f>
        <v>0.125</v>
      </c>
      <c r="K30" s="10">
        <f>29.33*100/80</f>
        <v>36.6625</v>
      </c>
      <c r="L30" s="10">
        <f>43.09*100/80</f>
        <v>53.8625</v>
      </c>
      <c r="M30" s="10">
        <f>350.5*100/80</f>
        <v>438.125</v>
      </c>
      <c r="N30" s="10">
        <f>4.69*100/80</f>
        <v>5.862500000000001</v>
      </c>
    </row>
    <row r="31" spans="2:14" ht="12.75">
      <c r="B31" s="6" t="s">
        <v>65</v>
      </c>
      <c r="C31" s="7">
        <v>200</v>
      </c>
      <c r="D31" s="10">
        <f>16.58*1.33</f>
        <v>22.051399999999997</v>
      </c>
      <c r="E31" s="10">
        <f>5.5*1.33</f>
        <v>7.315</v>
      </c>
      <c r="F31" s="10">
        <f>41.5*1.33</f>
        <v>55.195</v>
      </c>
      <c r="G31" s="10">
        <f>251.5*1.33</f>
        <v>334.495</v>
      </c>
      <c r="H31" s="10">
        <v>0</v>
      </c>
      <c r="I31" s="10">
        <f>0.65*1.33</f>
        <v>0.8645</v>
      </c>
      <c r="J31" s="10">
        <v>0</v>
      </c>
      <c r="K31" s="10">
        <f>65.75*1.33</f>
        <v>87.4475</v>
      </c>
      <c r="L31" s="10">
        <f>64*1.33</f>
        <v>85.12</v>
      </c>
      <c r="M31" s="10">
        <f>163.66*1.33</f>
        <v>217.6678</v>
      </c>
      <c r="N31" s="10">
        <f>5*1.33</f>
        <v>6.65</v>
      </c>
    </row>
    <row r="32" spans="2:14" ht="25.5">
      <c r="B32" s="6" t="s">
        <v>30</v>
      </c>
      <c r="C32" s="7">
        <v>25</v>
      </c>
      <c r="D32" s="10">
        <v>2.02</v>
      </c>
      <c r="E32" s="10">
        <v>0.37</v>
      </c>
      <c r="F32" s="10">
        <v>13.2</v>
      </c>
      <c r="G32" s="10">
        <v>64.5</v>
      </c>
      <c r="H32" s="10">
        <v>0</v>
      </c>
      <c r="I32" s="10">
        <v>0.11</v>
      </c>
      <c r="J32" s="10">
        <v>0</v>
      </c>
      <c r="K32" s="10">
        <v>0</v>
      </c>
      <c r="L32" s="10">
        <v>0</v>
      </c>
      <c r="M32" s="10">
        <v>0</v>
      </c>
      <c r="N32" s="10">
        <v>0.5</v>
      </c>
    </row>
    <row r="33" spans="2:14" ht="12.75">
      <c r="B33" s="6" t="s">
        <v>113</v>
      </c>
      <c r="C33" s="7">
        <v>200</v>
      </c>
      <c r="D33" s="10">
        <v>0</v>
      </c>
      <c r="E33" s="10">
        <v>0</v>
      </c>
      <c r="F33" s="10">
        <v>8.4</v>
      </c>
      <c r="G33" s="10">
        <v>33</v>
      </c>
      <c r="H33" s="10">
        <v>0.5</v>
      </c>
      <c r="I33" s="10">
        <v>0.49</v>
      </c>
      <c r="J33" s="10">
        <v>30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6"/>
      <c r="C34" s="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ht="12.75">
      <c r="B35" s="16" t="s">
        <v>31</v>
      </c>
      <c r="C35" s="7"/>
      <c r="D35" s="7">
        <f aca="true" t="shared" si="1" ref="D35:N35">SUM(D29:D33)</f>
        <v>72.07139999999998</v>
      </c>
      <c r="E35" s="7">
        <f t="shared" si="1"/>
        <v>36.01</v>
      </c>
      <c r="F35" s="7">
        <f t="shared" si="1"/>
        <v>175.445</v>
      </c>
      <c r="G35" s="7">
        <f t="shared" si="1"/>
        <v>966.12</v>
      </c>
      <c r="H35" s="7">
        <f t="shared" si="1"/>
        <v>0.625</v>
      </c>
      <c r="I35" s="7">
        <f t="shared" si="1"/>
        <v>4.527000000000001</v>
      </c>
      <c r="J35" s="7">
        <f t="shared" si="1"/>
        <v>54.925</v>
      </c>
      <c r="K35" s="7">
        <f t="shared" si="1"/>
        <v>164.81</v>
      </c>
      <c r="L35" s="7">
        <f t="shared" si="1"/>
        <v>167.5825</v>
      </c>
      <c r="M35" s="7">
        <f t="shared" si="1"/>
        <v>707.3928000000001</v>
      </c>
      <c r="N35" s="7">
        <f t="shared" si="1"/>
        <v>14.412500000000001</v>
      </c>
    </row>
    <row r="36" spans="2:14" ht="12.75">
      <c r="B36" s="16" t="s">
        <v>75</v>
      </c>
      <c r="C36" s="7"/>
      <c r="D36" s="7">
        <f aca="true" t="shared" si="2" ref="D36:N36">D27+D35</f>
        <v>82.17139999999998</v>
      </c>
      <c r="E36" s="7">
        <f t="shared" si="2"/>
        <v>45.06</v>
      </c>
      <c r="F36" s="7">
        <f t="shared" si="2"/>
        <v>239.745</v>
      </c>
      <c r="G36" s="7">
        <f t="shared" si="2"/>
        <v>1329.94</v>
      </c>
      <c r="H36" s="7">
        <f t="shared" si="2"/>
        <v>0.735</v>
      </c>
      <c r="I36" s="7">
        <f t="shared" si="2"/>
        <v>4.847000000000001</v>
      </c>
      <c r="J36" s="7">
        <f t="shared" si="2"/>
        <v>55.875</v>
      </c>
      <c r="K36" s="7">
        <f t="shared" si="2"/>
        <v>322.01</v>
      </c>
      <c r="L36" s="7">
        <f t="shared" si="2"/>
        <v>230.28250000000003</v>
      </c>
      <c r="M36" s="7">
        <f t="shared" si="2"/>
        <v>930.2928</v>
      </c>
      <c r="N36" s="7">
        <f t="shared" si="2"/>
        <v>17.3825</v>
      </c>
    </row>
    <row r="37" spans="2:14" ht="12.75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</sheetData>
  <sheetProtection/>
  <mergeCells count="17">
    <mergeCell ref="D17:F17"/>
    <mergeCell ref="B17:B18"/>
    <mergeCell ref="C17:C18"/>
    <mergeCell ref="G17:G18"/>
    <mergeCell ref="D9:J11"/>
    <mergeCell ref="K17:N17"/>
    <mergeCell ref="B3:G3"/>
    <mergeCell ref="B4:G4"/>
    <mergeCell ref="B5:G5"/>
    <mergeCell ref="B6:G6"/>
    <mergeCell ref="B7:F7"/>
    <mergeCell ref="I4:M4"/>
    <mergeCell ref="I7:M7"/>
    <mergeCell ref="K13:M13"/>
    <mergeCell ref="K14:M14"/>
    <mergeCell ref="K15:M15"/>
    <mergeCell ref="H17:J17"/>
  </mergeCells>
  <printOptions/>
  <pageMargins left="0.87" right="0.29" top="0.26" bottom="0.7" header="0.28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3:N35"/>
  <sheetViews>
    <sheetView zoomScalePageLayoutView="0" workbookViewId="0" topLeftCell="B1">
      <selection activeCell="B34" sqref="B34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1"/>
      <c r="J3" s="1"/>
      <c r="K3" s="1"/>
      <c r="L3" s="1"/>
      <c r="M3" s="1"/>
    </row>
    <row r="4" spans="2:13" ht="12.75"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</row>
    <row r="5" spans="2:7" ht="12.75">
      <c r="B5" s="20"/>
      <c r="C5" s="20"/>
      <c r="D5" s="20"/>
      <c r="E5" s="20"/>
      <c r="F5" s="20"/>
      <c r="G5" s="20"/>
    </row>
    <row r="6" spans="2:7" ht="12.75">
      <c r="B6" s="20"/>
      <c r="C6" s="20"/>
      <c r="D6" s="20"/>
      <c r="E6" s="20"/>
      <c r="F6" s="20"/>
      <c r="G6" s="20"/>
    </row>
    <row r="7" spans="2:13" ht="12.75">
      <c r="B7" s="20"/>
      <c r="C7" s="20"/>
      <c r="D7" s="20"/>
      <c r="E7" s="20"/>
      <c r="F7" s="20"/>
      <c r="I7" s="20"/>
      <c r="J7" s="20"/>
      <c r="K7" s="20"/>
      <c r="L7" s="20"/>
      <c r="M7" s="20"/>
    </row>
    <row r="9" spans="4:10" ht="12.75">
      <c r="D9" s="26" t="s">
        <v>76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1" spans="4:10" ht="12.75">
      <c r="D11" s="26"/>
      <c r="E11" s="26"/>
      <c r="F11" s="26"/>
      <c r="G11" s="26"/>
      <c r="H11" s="26"/>
      <c r="I11" s="26"/>
      <c r="J11" s="26"/>
    </row>
    <row r="13" spans="11:13" ht="12.75">
      <c r="K13" s="27" t="s">
        <v>63</v>
      </c>
      <c r="L13" s="27"/>
      <c r="M13" s="27"/>
    </row>
    <row r="14" spans="11:13" ht="12.75">
      <c r="K14" s="20" t="s">
        <v>11</v>
      </c>
      <c r="L14" s="20"/>
      <c r="M14" s="20"/>
    </row>
    <row r="15" spans="11:13" ht="12.75">
      <c r="K15" s="27" t="s">
        <v>112</v>
      </c>
      <c r="L15" s="27"/>
      <c r="M15" s="27"/>
    </row>
    <row r="17" spans="2:14" ht="25.5" customHeight="1">
      <c r="B17" s="24" t="s">
        <v>12</v>
      </c>
      <c r="C17" s="24" t="s">
        <v>13</v>
      </c>
      <c r="D17" s="21" t="s">
        <v>14</v>
      </c>
      <c r="E17" s="22"/>
      <c r="F17" s="23"/>
      <c r="G17" s="24" t="s">
        <v>15</v>
      </c>
      <c r="H17" s="21" t="s">
        <v>16</v>
      </c>
      <c r="I17" s="22"/>
      <c r="J17" s="23"/>
      <c r="K17" s="21" t="s">
        <v>17</v>
      </c>
      <c r="L17" s="22"/>
      <c r="M17" s="22"/>
      <c r="N17" s="23"/>
    </row>
    <row r="18" spans="2:14" ht="12.75">
      <c r="B18" s="25"/>
      <c r="C18" s="25"/>
      <c r="D18" s="3" t="s">
        <v>131</v>
      </c>
      <c r="E18" s="3" t="s">
        <v>132</v>
      </c>
      <c r="F18" s="3" t="s">
        <v>133</v>
      </c>
      <c r="G18" s="25"/>
      <c r="H18" s="3" t="s">
        <v>21</v>
      </c>
      <c r="I18" s="3" t="s">
        <v>22</v>
      </c>
      <c r="J18" s="3" t="s">
        <v>23</v>
      </c>
      <c r="K18" s="3" t="s">
        <v>24</v>
      </c>
      <c r="L18" s="3" t="s">
        <v>25</v>
      </c>
      <c r="M18" s="3" t="s">
        <v>26</v>
      </c>
      <c r="N18" s="3" t="s">
        <v>27</v>
      </c>
    </row>
    <row r="19" spans="2:14" ht="12.75">
      <c r="B19" s="15" t="s">
        <v>73</v>
      </c>
      <c r="C19" s="2"/>
      <c r="D19" s="11"/>
      <c r="E19" s="11"/>
      <c r="F19" s="11"/>
      <c r="G19" s="9"/>
      <c r="H19" s="11"/>
      <c r="I19" s="11"/>
      <c r="J19" s="11"/>
      <c r="K19" s="11"/>
      <c r="L19" s="11"/>
      <c r="M19" s="11"/>
      <c r="N19" s="11"/>
    </row>
    <row r="20" spans="2:14" ht="25.5">
      <c r="B20" s="4" t="s">
        <v>103</v>
      </c>
      <c r="C20" s="2" t="s">
        <v>129</v>
      </c>
      <c r="D20" s="5">
        <v>12.3</v>
      </c>
      <c r="E20" s="5">
        <v>29.8</v>
      </c>
      <c r="F20" s="5">
        <v>176.7</v>
      </c>
      <c r="G20" s="2">
        <v>528.5</v>
      </c>
      <c r="H20" s="5">
        <v>0.15</v>
      </c>
      <c r="I20" s="5">
        <v>0.04</v>
      </c>
      <c r="J20" s="5">
        <v>0.2</v>
      </c>
      <c r="K20" s="5">
        <v>94.9</v>
      </c>
      <c r="L20" s="5">
        <v>47.3</v>
      </c>
      <c r="M20" s="5">
        <v>123.3</v>
      </c>
      <c r="N20" s="5">
        <v>2.4</v>
      </c>
    </row>
    <row r="21" spans="2:14" ht="12.75">
      <c r="B21" s="4" t="s">
        <v>40</v>
      </c>
      <c r="C21" s="2">
        <v>200</v>
      </c>
      <c r="D21" s="5">
        <v>2.6</v>
      </c>
      <c r="E21" s="5">
        <v>1.9</v>
      </c>
      <c r="F21" s="5">
        <v>22.9</v>
      </c>
      <c r="G21" s="2">
        <v>69</v>
      </c>
      <c r="H21" s="5">
        <v>0.02</v>
      </c>
      <c r="I21" s="5">
        <v>0.01</v>
      </c>
      <c r="J21" s="5">
        <v>0.44</v>
      </c>
      <c r="K21" s="5">
        <v>13.4</v>
      </c>
      <c r="L21" s="5">
        <v>8.9</v>
      </c>
      <c r="M21" s="5">
        <v>14.8</v>
      </c>
      <c r="N21" s="5">
        <v>0.11</v>
      </c>
    </row>
    <row r="22" spans="2:14" ht="25.5">
      <c r="B22" s="6" t="s">
        <v>30</v>
      </c>
      <c r="C22" s="7">
        <v>25</v>
      </c>
      <c r="D22" s="10">
        <v>2.02</v>
      </c>
      <c r="E22" s="10">
        <v>0.37</v>
      </c>
      <c r="F22" s="10">
        <v>13.2</v>
      </c>
      <c r="G22" s="10">
        <v>64.5</v>
      </c>
      <c r="H22" s="10">
        <v>0</v>
      </c>
      <c r="I22" s="10">
        <v>0.11</v>
      </c>
      <c r="J22" s="10">
        <v>0</v>
      </c>
      <c r="K22" s="10">
        <v>0</v>
      </c>
      <c r="L22" s="10">
        <v>0</v>
      </c>
      <c r="M22" s="10">
        <v>0</v>
      </c>
      <c r="N22" s="10">
        <v>0.5</v>
      </c>
    </row>
    <row r="23" spans="2:14" ht="12.75">
      <c r="B23" s="4"/>
      <c r="C23" s="2"/>
      <c r="D23" s="8"/>
      <c r="E23" s="8"/>
      <c r="F23" s="8"/>
      <c r="G23" s="9"/>
      <c r="H23" s="8"/>
      <c r="I23" s="8"/>
      <c r="J23" s="8"/>
      <c r="K23" s="8"/>
      <c r="L23" s="8"/>
      <c r="M23" s="8"/>
      <c r="N23" s="8"/>
    </row>
    <row r="24" spans="2:14" ht="12.75">
      <c r="B24" s="17" t="s">
        <v>31</v>
      </c>
      <c r="C24" s="2"/>
      <c r="D24" s="7">
        <f aca="true" t="shared" si="0" ref="D24:N24">SUM(D20:D22)</f>
        <v>16.92</v>
      </c>
      <c r="E24" s="7">
        <f t="shared" si="0"/>
        <v>32.07</v>
      </c>
      <c r="F24" s="7">
        <f t="shared" si="0"/>
        <v>212.79999999999998</v>
      </c>
      <c r="G24" s="7">
        <f t="shared" si="0"/>
        <v>662</v>
      </c>
      <c r="H24" s="7">
        <f t="shared" si="0"/>
        <v>0.16999999999999998</v>
      </c>
      <c r="I24" s="7">
        <f t="shared" si="0"/>
        <v>0.16</v>
      </c>
      <c r="J24" s="7">
        <f t="shared" si="0"/>
        <v>0.64</v>
      </c>
      <c r="K24" s="7">
        <f t="shared" si="0"/>
        <v>108.30000000000001</v>
      </c>
      <c r="L24" s="7">
        <f t="shared" si="0"/>
        <v>56.199999999999996</v>
      </c>
      <c r="M24" s="7">
        <f t="shared" si="0"/>
        <v>138.1</v>
      </c>
      <c r="N24" s="7">
        <f t="shared" si="0"/>
        <v>3.01</v>
      </c>
    </row>
    <row r="25" spans="2:14" ht="12.75">
      <c r="B25" s="15" t="s">
        <v>74</v>
      </c>
      <c r="C25" s="2"/>
      <c r="D25" s="12"/>
      <c r="E25" s="12"/>
      <c r="F25" s="12"/>
      <c r="G25" s="2"/>
      <c r="H25" s="12"/>
      <c r="I25" s="12"/>
      <c r="J25" s="12"/>
      <c r="K25" s="12"/>
      <c r="L25" s="12"/>
      <c r="M25" s="12"/>
      <c r="N25" s="12"/>
    </row>
    <row r="26" spans="2:14" ht="25.5">
      <c r="B26" s="6" t="s">
        <v>102</v>
      </c>
      <c r="C26" s="7">
        <v>250</v>
      </c>
      <c r="D26" s="10">
        <v>6</v>
      </c>
      <c r="E26" s="10">
        <v>5.4</v>
      </c>
      <c r="F26" s="10">
        <v>23.9</v>
      </c>
      <c r="G26" s="10">
        <v>159.8</v>
      </c>
      <c r="H26" s="10">
        <v>0</v>
      </c>
      <c r="I26" s="10">
        <v>0.16</v>
      </c>
      <c r="J26" s="10">
        <v>11.5</v>
      </c>
      <c r="K26" s="10">
        <v>43.2</v>
      </c>
      <c r="L26" s="10">
        <v>37.3</v>
      </c>
      <c r="M26" s="10">
        <v>148.5</v>
      </c>
      <c r="N26" s="10">
        <v>3.1</v>
      </c>
    </row>
    <row r="27" spans="2:14" ht="12.75">
      <c r="B27" s="6" t="s">
        <v>64</v>
      </c>
      <c r="C27" s="7">
        <v>100</v>
      </c>
      <c r="D27" s="10">
        <f>10.96*100/80</f>
        <v>13.7</v>
      </c>
      <c r="E27" s="10">
        <f>18.24*100/80</f>
        <v>22.799999999999997</v>
      </c>
      <c r="F27" s="10">
        <v>0</v>
      </c>
      <c r="G27" s="10">
        <f>208*100/80</f>
        <v>260</v>
      </c>
      <c r="H27" s="10">
        <v>0</v>
      </c>
      <c r="I27" s="10">
        <v>0</v>
      </c>
      <c r="J27" s="10">
        <v>0</v>
      </c>
      <c r="K27" s="10">
        <f>23.2*100/80</f>
        <v>29</v>
      </c>
      <c r="L27" s="10">
        <f>17.6*100/80</f>
        <v>22.000000000000004</v>
      </c>
      <c r="M27" s="10">
        <f>142.4*100/80</f>
        <v>178</v>
      </c>
      <c r="N27" s="10">
        <f>1.28*100/80</f>
        <v>1.6</v>
      </c>
    </row>
    <row r="28" spans="2:14" ht="12.75">
      <c r="B28" s="6" t="s">
        <v>35</v>
      </c>
      <c r="C28" s="7">
        <v>50</v>
      </c>
      <c r="D28" s="10">
        <v>0.4</v>
      </c>
      <c r="E28" s="10">
        <v>0.81</v>
      </c>
      <c r="F28" s="10">
        <v>3.55</v>
      </c>
      <c r="G28" s="10">
        <v>22.9</v>
      </c>
      <c r="H28" s="10">
        <v>0</v>
      </c>
      <c r="I28" s="10">
        <v>0</v>
      </c>
      <c r="J28" s="10">
        <v>1.6</v>
      </c>
      <c r="K28" s="10">
        <v>3.8</v>
      </c>
      <c r="L28" s="10">
        <v>2</v>
      </c>
      <c r="M28" s="10">
        <v>8.4</v>
      </c>
      <c r="N28" s="10">
        <v>0.2</v>
      </c>
    </row>
    <row r="29" spans="2:14" ht="12.75">
      <c r="B29" s="6" t="s">
        <v>52</v>
      </c>
      <c r="C29" s="7">
        <v>200</v>
      </c>
      <c r="D29" s="10">
        <f>7.95*200/150</f>
        <v>10.6</v>
      </c>
      <c r="E29" s="10">
        <f>5.85*200/150</f>
        <v>7.8</v>
      </c>
      <c r="F29" s="10">
        <f>42.6*200/150</f>
        <v>56.8</v>
      </c>
      <c r="G29" s="10">
        <f>245.1*200/150</f>
        <v>326.8</v>
      </c>
      <c r="H29" s="10">
        <v>0</v>
      </c>
      <c r="I29" s="10">
        <f>0.03*200/150</f>
        <v>0.04</v>
      </c>
      <c r="J29" s="10">
        <v>0</v>
      </c>
      <c r="K29" s="10">
        <f>44.85*200/150</f>
        <v>59.8</v>
      </c>
      <c r="L29" s="10">
        <f>61.05*200/150</f>
        <v>81.4</v>
      </c>
      <c r="M29" s="10">
        <f>176.4*200/150</f>
        <v>235.2</v>
      </c>
      <c r="N29" s="10">
        <f>4.98</f>
        <v>4.98</v>
      </c>
    </row>
    <row r="30" spans="2:14" ht="12.75">
      <c r="B30" s="6" t="s">
        <v>62</v>
      </c>
      <c r="C30" s="7">
        <v>25</v>
      </c>
      <c r="D30" s="10">
        <v>1.9</v>
      </c>
      <c r="E30" s="10">
        <v>0.15</v>
      </c>
      <c r="F30" s="10">
        <v>13</v>
      </c>
      <c r="G30" s="10">
        <v>58</v>
      </c>
      <c r="H30" s="10">
        <v>0</v>
      </c>
      <c r="I30" s="10">
        <v>0</v>
      </c>
      <c r="J30" s="10">
        <v>0</v>
      </c>
      <c r="K30" s="10">
        <v>5</v>
      </c>
      <c r="L30" s="10">
        <v>3.5</v>
      </c>
      <c r="M30" s="10">
        <v>16.3</v>
      </c>
      <c r="N30" s="10">
        <v>0.2</v>
      </c>
    </row>
    <row r="31" spans="2:14" ht="12.75">
      <c r="B31" s="6" t="s">
        <v>125</v>
      </c>
      <c r="C31" s="7">
        <v>200</v>
      </c>
      <c r="D31" s="10">
        <v>1</v>
      </c>
      <c r="E31" s="10">
        <v>0</v>
      </c>
      <c r="F31" s="10">
        <v>18.2</v>
      </c>
      <c r="G31" s="10">
        <v>76</v>
      </c>
      <c r="H31" s="10">
        <v>0</v>
      </c>
      <c r="I31" s="10">
        <v>0.02</v>
      </c>
      <c r="J31" s="10">
        <v>4</v>
      </c>
      <c r="K31" s="10">
        <v>14</v>
      </c>
      <c r="L31" s="10">
        <v>8</v>
      </c>
      <c r="M31" s="10">
        <v>14</v>
      </c>
      <c r="N31" s="10">
        <v>0.6</v>
      </c>
    </row>
    <row r="32" spans="2:14" ht="12.75">
      <c r="B32" s="6"/>
      <c r="C32" s="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ht="12.75">
      <c r="B33" s="16" t="s">
        <v>31</v>
      </c>
      <c r="C33" s="7"/>
      <c r="D33" s="7">
        <f aca="true" t="shared" si="1" ref="D33:N33">SUM(D26:D31)</f>
        <v>33.599999999999994</v>
      </c>
      <c r="E33" s="7">
        <f t="shared" si="1"/>
        <v>36.959999999999994</v>
      </c>
      <c r="F33" s="7">
        <f t="shared" si="1"/>
        <v>115.45</v>
      </c>
      <c r="G33" s="7">
        <f t="shared" si="1"/>
        <v>903.5</v>
      </c>
      <c r="H33" s="7">
        <f t="shared" si="1"/>
        <v>0</v>
      </c>
      <c r="I33" s="7">
        <f t="shared" si="1"/>
        <v>0.22</v>
      </c>
      <c r="J33" s="7">
        <f t="shared" si="1"/>
        <v>17.1</v>
      </c>
      <c r="K33" s="7">
        <f t="shared" si="1"/>
        <v>154.8</v>
      </c>
      <c r="L33" s="7">
        <f t="shared" si="1"/>
        <v>154.2</v>
      </c>
      <c r="M33" s="7">
        <f t="shared" si="1"/>
        <v>600.3999999999999</v>
      </c>
      <c r="N33" s="7">
        <f t="shared" si="1"/>
        <v>10.68</v>
      </c>
    </row>
    <row r="34" spans="2:14" ht="12.75">
      <c r="B34" s="16" t="s">
        <v>75</v>
      </c>
      <c r="C34" s="7"/>
      <c r="D34" s="7">
        <f aca="true" t="shared" si="2" ref="D34:N34">D24+D33</f>
        <v>50.519999999999996</v>
      </c>
      <c r="E34" s="7">
        <f t="shared" si="2"/>
        <v>69.03</v>
      </c>
      <c r="F34" s="7">
        <f t="shared" si="2"/>
        <v>328.25</v>
      </c>
      <c r="G34" s="7">
        <f t="shared" si="2"/>
        <v>1565.5</v>
      </c>
      <c r="H34" s="7">
        <f t="shared" si="2"/>
        <v>0.16999999999999998</v>
      </c>
      <c r="I34" s="7">
        <f t="shared" si="2"/>
        <v>0.38</v>
      </c>
      <c r="J34" s="7">
        <f t="shared" si="2"/>
        <v>17.740000000000002</v>
      </c>
      <c r="K34" s="7">
        <f t="shared" si="2"/>
        <v>263.1</v>
      </c>
      <c r="L34" s="7">
        <f t="shared" si="2"/>
        <v>210.39999999999998</v>
      </c>
      <c r="M34" s="7">
        <f t="shared" si="2"/>
        <v>738.4999999999999</v>
      </c>
      <c r="N34" s="7">
        <f t="shared" si="2"/>
        <v>13.69</v>
      </c>
    </row>
    <row r="35" spans="2:14" ht="12.75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</sheetData>
  <sheetProtection/>
  <mergeCells count="17">
    <mergeCell ref="I4:M4"/>
    <mergeCell ref="I7:M7"/>
    <mergeCell ref="K13:M13"/>
    <mergeCell ref="K14:M14"/>
    <mergeCell ref="K15:M15"/>
    <mergeCell ref="H17:J17"/>
    <mergeCell ref="B17:B18"/>
    <mergeCell ref="C17:C18"/>
    <mergeCell ref="G17:G18"/>
    <mergeCell ref="D9:J11"/>
    <mergeCell ref="K17:N17"/>
    <mergeCell ref="B3:G3"/>
    <mergeCell ref="B4:G4"/>
    <mergeCell ref="B5:G5"/>
    <mergeCell ref="B6:G6"/>
    <mergeCell ref="B7:F7"/>
    <mergeCell ref="D17:F17"/>
  </mergeCells>
  <printOptions/>
  <pageMargins left="0.87" right="0.29" top="0.26" bottom="1" header="0.28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3:N36"/>
  <sheetViews>
    <sheetView zoomScalePageLayoutView="0" workbookViewId="0" topLeftCell="B1">
      <selection activeCell="B35" sqref="B35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1"/>
      <c r="J3" s="1"/>
      <c r="K3" s="1"/>
      <c r="L3" s="1"/>
      <c r="M3" s="1"/>
    </row>
    <row r="4" spans="2:13" ht="12.75"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</row>
    <row r="5" spans="2:7" ht="12.75">
      <c r="B5" s="20"/>
      <c r="C5" s="20"/>
      <c r="D5" s="20"/>
      <c r="E5" s="20"/>
      <c r="F5" s="20"/>
      <c r="G5" s="20"/>
    </row>
    <row r="6" spans="2:7" ht="12.75">
      <c r="B6" s="20"/>
      <c r="C6" s="20"/>
      <c r="D6" s="20"/>
      <c r="E6" s="20"/>
      <c r="F6" s="20"/>
      <c r="G6" s="20"/>
    </row>
    <row r="7" spans="2:13" ht="12.75">
      <c r="B7" s="20"/>
      <c r="C7" s="20"/>
      <c r="D7" s="20"/>
      <c r="E7" s="20"/>
      <c r="F7" s="20"/>
      <c r="I7" s="20"/>
      <c r="J7" s="20"/>
      <c r="K7" s="20"/>
      <c r="L7" s="20"/>
      <c r="M7" s="20"/>
    </row>
    <row r="9" spans="4:10" ht="12.75">
      <c r="D9" s="26" t="s">
        <v>76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1" spans="4:10" ht="12.75">
      <c r="D11" s="26"/>
      <c r="E11" s="26"/>
      <c r="F11" s="26"/>
      <c r="G11" s="26"/>
      <c r="H11" s="26"/>
      <c r="I11" s="26"/>
      <c r="J11" s="26"/>
    </row>
    <row r="13" spans="11:13" ht="12.75">
      <c r="K13" s="27" t="s">
        <v>66</v>
      </c>
      <c r="L13" s="27"/>
      <c r="M13" s="27"/>
    </row>
    <row r="14" spans="11:13" ht="12.75">
      <c r="K14" s="20" t="s">
        <v>11</v>
      </c>
      <c r="L14" s="20"/>
      <c r="M14" s="20"/>
    </row>
    <row r="15" spans="11:13" ht="12.75">
      <c r="K15" s="27" t="s">
        <v>112</v>
      </c>
      <c r="L15" s="27"/>
      <c r="M15" s="27"/>
    </row>
    <row r="17" spans="2:14" ht="25.5" customHeight="1">
      <c r="B17" s="24" t="s">
        <v>12</v>
      </c>
      <c r="C17" s="24" t="s">
        <v>13</v>
      </c>
      <c r="D17" s="21" t="s">
        <v>14</v>
      </c>
      <c r="E17" s="22"/>
      <c r="F17" s="23"/>
      <c r="G17" s="24" t="s">
        <v>15</v>
      </c>
      <c r="H17" s="21" t="s">
        <v>16</v>
      </c>
      <c r="I17" s="22"/>
      <c r="J17" s="23"/>
      <c r="K17" s="21" t="s">
        <v>17</v>
      </c>
      <c r="L17" s="22"/>
      <c r="M17" s="22"/>
      <c r="N17" s="23"/>
    </row>
    <row r="18" spans="2:14" ht="12.75">
      <c r="B18" s="25"/>
      <c r="C18" s="25"/>
      <c r="D18" s="3" t="s">
        <v>18</v>
      </c>
      <c r="E18" s="3" t="s">
        <v>19</v>
      </c>
      <c r="F18" s="3" t="s">
        <v>20</v>
      </c>
      <c r="G18" s="25"/>
      <c r="H18" s="3" t="s">
        <v>21</v>
      </c>
      <c r="I18" s="3" t="s">
        <v>22</v>
      </c>
      <c r="J18" s="3" t="s">
        <v>23</v>
      </c>
      <c r="K18" s="3" t="s">
        <v>24</v>
      </c>
      <c r="L18" s="3" t="s">
        <v>25</v>
      </c>
      <c r="M18" s="3" t="s">
        <v>26</v>
      </c>
      <c r="N18" s="3" t="s">
        <v>27</v>
      </c>
    </row>
    <row r="19" spans="2:14" ht="12.75">
      <c r="B19" s="15" t="s">
        <v>73</v>
      </c>
      <c r="C19" s="2"/>
      <c r="D19" s="11"/>
      <c r="E19" s="11"/>
      <c r="F19" s="11"/>
      <c r="G19" s="9"/>
      <c r="H19" s="11"/>
      <c r="I19" s="11"/>
      <c r="J19" s="11"/>
      <c r="K19" s="11"/>
      <c r="L19" s="11"/>
      <c r="M19" s="11"/>
      <c r="N19" s="11"/>
    </row>
    <row r="20" spans="2:14" ht="25.5">
      <c r="B20" s="4" t="s">
        <v>47</v>
      </c>
      <c r="C20" s="2" t="s">
        <v>48</v>
      </c>
      <c r="D20" s="5">
        <v>5.8</v>
      </c>
      <c r="E20" s="5">
        <v>7.5</v>
      </c>
      <c r="F20" s="5">
        <v>44.6</v>
      </c>
      <c r="G20" s="2">
        <v>258.7</v>
      </c>
      <c r="H20" s="5">
        <v>0.06</v>
      </c>
      <c r="I20" s="5">
        <v>0.02</v>
      </c>
      <c r="J20" s="5">
        <v>1</v>
      </c>
      <c r="K20" s="5">
        <v>130.2</v>
      </c>
      <c r="L20" s="5">
        <v>23.1</v>
      </c>
      <c r="M20" s="5">
        <v>0.9</v>
      </c>
      <c r="N20" s="5">
        <v>138.5</v>
      </c>
    </row>
    <row r="21" spans="2:14" ht="12.75">
      <c r="B21" s="6" t="s">
        <v>62</v>
      </c>
      <c r="C21" s="7">
        <v>25</v>
      </c>
      <c r="D21" s="10">
        <v>1.9</v>
      </c>
      <c r="E21" s="10">
        <v>0.15</v>
      </c>
      <c r="F21" s="10">
        <v>13</v>
      </c>
      <c r="G21" s="10">
        <v>58</v>
      </c>
      <c r="H21" s="10">
        <v>0</v>
      </c>
      <c r="I21" s="10">
        <v>0</v>
      </c>
      <c r="J21" s="10">
        <v>0</v>
      </c>
      <c r="K21" s="10">
        <v>5</v>
      </c>
      <c r="L21" s="10">
        <v>3.5</v>
      </c>
      <c r="M21" s="10">
        <v>16.3</v>
      </c>
      <c r="N21" s="10">
        <v>0.2</v>
      </c>
    </row>
    <row r="22" spans="2:14" ht="12.75">
      <c r="B22" s="6" t="s">
        <v>88</v>
      </c>
      <c r="C22" s="7">
        <v>10</v>
      </c>
      <c r="D22" s="10">
        <v>0.13</v>
      </c>
      <c r="E22" s="10">
        <v>7.25</v>
      </c>
      <c r="F22" s="10">
        <v>0.09</v>
      </c>
      <c r="G22" s="10">
        <v>66.1</v>
      </c>
      <c r="H22" s="10">
        <v>0.04</v>
      </c>
      <c r="I22" s="10">
        <v>0.04</v>
      </c>
      <c r="J22" s="10">
        <v>0</v>
      </c>
      <c r="K22" s="10">
        <v>2.4</v>
      </c>
      <c r="L22" s="10">
        <v>0.3</v>
      </c>
      <c r="M22" s="10">
        <v>2</v>
      </c>
      <c r="N22" s="10">
        <v>0.02</v>
      </c>
    </row>
    <row r="23" spans="2:14" ht="12.75">
      <c r="B23" s="6" t="s">
        <v>36</v>
      </c>
      <c r="C23" s="7" t="s">
        <v>37</v>
      </c>
      <c r="D23" s="10">
        <v>0</v>
      </c>
      <c r="E23" s="10">
        <v>0</v>
      </c>
      <c r="F23" s="10">
        <v>14.35</v>
      </c>
      <c r="G23" s="10">
        <v>58.5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4" t="s">
        <v>108</v>
      </c>
      <c r="C24" s="2">
        <v>50</v>
      </c>
      <c r="D24" s="10">
        <v>3.75</v>
      </c>
      <c r="E24" s="10">
        <v>5.9</v>
      </c>
      <c r="F24" s="10">
        <v>37.25</v>
      </c>
      <c r="G24" s="9">
        <v>218</v>
      </c>
      <c r="H24" s="10">
        <v>0</v>
      </c>
      <c r="I24" s="10">
        <v>0.02</v>
      </c>
      <c r="J24" s="10">
        <v>0</v>
      </c>
      <c r="K24" s="10">
        <v>14.5</v>
      </c>
      <c r="L24" s="10">
        <v>10</v>
      </c>
      <c r="M24" s="10">
        <v>45</v>
      </c>
      <c r="N24" s="10">
        <v>1.05</v>
      </c>
    </row>
    <row r="25" spans="2:14" ht="12.75">
      <c r="B25" s="17"/>
      <c r="C25" s="2"/>
      <c r="D25" s="8"/>
      <c r="E25" s="8"/>
      <c r="F25" s="8"/>
      <c r="G25" s="9"/>
      <c r="H25" s="8"/>
      <c r="I25" s="8"/>
      <c r="J25" s="8"/>
      <c r="K25" s="8"/>
      <c r="L25" s="8"/>
      <c r="M25" s="8"/>
      <c r="N25" s="8"/>
    </row>
    <row r="26" spans="2:14" ht="12.75">
      <c r="B26" s="17" t="s">
        <v>31</v>
      </c>
      <c r="C26" s="2"/>
      <c r="D26" s="10">
        <f aca="true" t="shared" si="0" ref="D26:N26">SUM(D20:D24)</f>
        <v>11.579999999999998</v>
      </c>
      <c r="E26" s="10">
        <f t="shared" si="0"/>
        <v>20.8</v>
      </c>
      <c r="F26" s="10">
        <f t="shared" si="0"/>
        <v>109.29</v>
      </c>
      <c r="G26" s="10">
        <f t="shared" si="0"/>
        <v>659.3</v>
      </c>
      <c r="H26" s="10">
        <f t="shared" si="0"/>
        <v>0.1</v>
      </c>
      <c r="I26" s="10">
        <f t="shared" si="0"/>
        <v>0.08</v>
      </c>
      <c r="J26" s="10">
        <f t="shared" si="0"/>
        <v>1</v>
      </c>
      <c r="K26" s="10">
        <f t="shared" si="0"/>
        <v>152.1</v>
      </c>
      <c r="L26" s="10">
        <f t="shared" si="0"/>
        <v>36.900000000000006</v>
      </c>
      <c r="M26" s="10">
        <f t="shared" si="0"/>
        <v>64.2</v>
      </c>
      <c r="N26" s="10">
        <f t="shared" si="0"/>
        <v>139.77</v>
      </c>
    </row>
    <row r="27" spans="2:14" ht="12.75">
      <c r="B27" s="15" t="s">
        <v>74</v>
      </c>
      <c r="C27" s="2"/>
      <c r="D27" s="11"/>
      <c r="E27" s="11"/>
      <c r="F27" s="11"/>
      <c r="G27" s="9"/>
      <c r="H27" s="11"/>
      <c r="I27" s="11"/>
      <c r="J27" s="11"/>
      <c r="K27" s="11"/>
      <c r="L27" s="11"/>
      <c r="M27" s="11"/>
      <c r="N27" s="11"/>
    </row>
    <row r="28" spans="2:14" ht="25.5">
      <c r="B28" s="4" t="s">
        <v>82</v>
      </c>
      <c r="C28" s="9">
        <v>250</v>
      </c>
      <c r="D28" s="8">
        <v>2.7</v>
      </c>
      <c r="E28" s="8">
        <v>3.4</v>
      </c>
      <c r="F28" s="8">
        <v>23.8</v>
      </c>
      <c r="G28" s="9">
        <v>124.7</v>
      </c>
      <c r="H28" s="8">
        <v>0.9</v>
      </c>
      <c r="I28" s="8">
        <v>0.1</v>
      </c>
      <c r="J28" s="8">
        <v>1.65</v>
      </c>
      <c r="K28" s="8">
        <v>19.5</v>
      </c>
      <c r="L28" s="8">
        <v>31.8</v>
      </c>
      <c r="M28" s="8">
        <v>58</v>
      </c>
      <c r="N28" s="8">
        <v>1.2</v>
      </c>
    </row>
    <row r="29" spans="2:14" ht="25.5">
      <c r="B29" s="6" t="s">
        <v>67</v>
      </c>
      <c r="C29" s="7" t="s">
        <v>80</v>
      </c>
      <c r="D29" s="10">
        <f>18.3*2</f>
        <v>36.6</v>
      </c>
      <c r="E29" s="10">
        <f>12.9*2</f>
        <v>25.8</v>
      </c>
      <c r="F29" s="10">
        <f>7.6*2</f>
        <v>15.2</v>
      </c>
      <c r="G29" s="10">
        <f>238.4*2</f>
        <v>476.8</v>
      </c>
      <c r="H29" s="10">
        <f>2.7*2</f>
        <v>5.4</v>
      </c>
      <c r="I29" s="10">
        <f>0.2*2</f>
        <v>0.4</v>
      </c>
      <c r="J29" s="10">
        <f>25.8*2</f>
        <v>51.6</v>
      </c>
      <c r="K29" s="10">
        <f>9.8*2</f>
        <v>19.6</v>
      </c>
      <c r="L29" s="10">
        <f>16.2*2</f>
        <v>32.4</v>
      </c>
      <c r="M29" s="10">
        <f>255.9*2</f>
        <v>511.8</v>
      </c>
      <c r="N29" s="10">
        <f>6.7*2</f>
        <v>13.4</v>
      </c>
    </row>
    <row r="30" spans="2:14" ht="12.75">
      <c r="B30" s="6" t="s">
        <v>60</v>
      </c>
      <c r="C30" s="7">
        <v>200</v>
      </c>
      <c r="D30" s="10">
        <f>16.58*200/150</f>
        <v>22.106666666666662</v>
      </c>
      <c r="E30" s="10">
        <f>5.48*200/150</f>
        <v>7.306666666666667</v>
      </c>
      <c r="F30" s="10">
        <f>41.48*200/150</f>
        <v>55.306666666666665</v>
      </c>
      <c r="G30" s="10">
        <f>251.48*200/150</f>
        <v>335.3066666666667</v>
      </c>
      <c r="H30" s="10">
        <v>0</v>
      </c>
      <c r="I30" s="10">
        <f>0.65*200/150</f>
        <v>0.8666666666666667</v>
      </c>
      <c r="J30" s="10">
        <v>0</v>
      </c>
      <c r="K30" s="10">
        <f>65.7*200/150</f>
        <v>87.6</v>
      </c>
      <c r="L30" s="10">
        <f>63.98*200/150</f>
        <v>85.30666666666667</v>
      </c>
      <c r="M30" s="10">
        <f>163.65*200/150</f>
        <v>218.2</v>
      </c>
      <c r="N30" s="10">
        <f>4.95*200/150</f>
        <v>6.6</v>
      </c>
    </row>
    <row r="31" spans="2:14" ht="25.5">
      <c r="B31" s="6" t="s">
        <v>30</v>
      </c>
      <c r="C31" s="7">
        <v>25</v>
      </c>
      <c r="D31" s="10">
        <v>2.02</v>
      </c>
      <c r="E31" s="10">
        <v>0.37</v>
      </c>
      <c r="F31" s="10">
        <v>13.2</v>
      </c>
      <c r="G31" s="10">
        <v>64.5</v>
      </c>
      <c r="H31" s="10">
        <v>0</v>
      </c>
      <c r="I31" s="10">
        <v>0.11</v>
      </c>
      <c r="J31" s="10">
        <v>0</v>
      </c>
      <c r="K31" s="10">
        <v>0</v>
      </c>
      <c r="L31" s="10">
        <v>0</v>
      </c>
      <c r="M31" s="10">
        <v>0</v>
      </c>
      <c r="N31" s="10">
        <v>0.5</v>
      </c>
    </row>
    <row r="32" spans="2:14" ht="12.75">
      <c r="B32" s="6" t="s">
        <v>99</v>
      </c>
      <c r="C32" s="7">
        <v>200</v>
      </c>
      <c r="D32" s="10">
        <v>0</v>
      </c>
      <c r="E32" s="10">
        <v>0</v>
      </c>
      <c r="F32" s="10">
        <v>9.9</v>
      </c>
      <c r="G32" s="10">
        <v>37.4</v>
      </c>
      <c r="H32" s="10">
        <v>0</v>
      </c>
      <c r="I32" s="10">
        <v>0</v>
      </c>
      <c r="J32" s="10">
        <v>0</v>
      </c>
      <c r="K32" s="10">
        <v>0.2</v>
      </c>
      <c r="L32" s="10">
        <v>0</v>
      </c>
      <c r="M32" s="10">
        <v>0.3</v>
      </c>
      <c r="N32" s="10">
        <v>0</v>
      </c>
    </row>
    <row r="33" spans="2:14" ht="12.75">
      <c r="B33" s="6"/>
      <c r="C33" s="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12.75">
      <c r="B34" s="16" t="s">
        <v>31</v>
      </c>
      <c r="C34" s="7"/>
      <c r="D34" s="10">
        <f>SUM(D29:D32)</f>
        <v>60.72666666666667</v>
      </c>
      <c r="E34" s="10">
        <f>SUM(E29:E32)</f>
        <v>33.47666666666667</v>
      </c>
      <c r="F34" s="10">
        <f>SUM(F29:F32)</f>
        <v>93.60666666666667</v>
      </c>
      <c r="G34" s="10">
        <f>SUM(G28:G32)</f>
        <v>1038.7066666666667</v>
      </c>
      <c r="H34" s="10">
        <f aca="true" t="shared" si="1" ref="H34:N34">SUM(H29:H32)</f>
        <v>5.4</v>
      </c>
      <c r="I34" s="10">
        <f t="shared" si="1"/>
        <v>1.3766666666666667</v>
      </c>
      <c r="J34" s="10">
        <f t="shared" si="1"/>
        <v>51.6</v>
      </c>
      <c r="K34" s="10">
        <f t="shared" si="1"/>
        <v>107.39999999999999</v>
      </c>
      <c r="L34" s="10">
        <f t="shared" si="1"/>
        <v>117.70666666666668</v>
      </c>
      <c r="M34" s="10">
        <f t="shared" si="1"/>
        <v>730.3</v>
      </c>
      <c r="N34" s="10">
        <f t="shared" si="1"/>
        <v>20.5</v>
      </c>
    </row>
    <row r="35" spans="2:14" ht="12.75">
      <c r="B35" s="16" t="s">
        <v>75</v>
      </c>
      <c r="C35" s="7"/>
      <c r="D35" s="10">
        <f aca="true" t="shared" si="2" ref="D35:N35">D26+D34</f>
        <v>72.30666666666667</v>
      </c>
      <c r="E35" s="10">
        <f t="shared" si="2"/>
        <v>54.27666666666667</v>
      </c>
      <c r="F35" s="10">
        <f t="shared" si="2"/>
        <v>202.89666666666668</v>
      </c>
      <c r="G35" s="10">
        <f t="shared" si="2"/>
        <v>1698.0066666666667</v>
      </c>
      <c r="H35" s="10">
        <f t="shared" si="2"/>
        <v>5.5</v>
      </c>
      <c r="I35" s="10">
        <f t="shared" si="2"/>
        <v>1.4566666666666668</v>
      </c>
      <c r="J35" s="10">
        <f t="shared" si="2"/>
        <v>52.6</v>
      </c>
      <c r="K35" s="10">
        <f t="shared" si="2"/>
        <v>259.5</v>
      </c>
      <c r="L35" s="10">
        <f t="shared" si="2"/>
        <v>154.60666666666668</v>
      </c>
      <c r="M35" s="10">
        <f t="shared" si="2"/>
        <v>794.5</v>
      </c>
      <c r="N35" s="10">
        <f t="shared" si="2"/>
        <v>160.27</v>
      </c>
    </row>
    <row r="36" spans="2:14" ht="12.75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</sheetData>
  <sheetProtection/>
  <mergeCells count="17">
    <mergeCell ref="D17:F17"/>
    <mergeCell ref="B17:B18"/>
    <mergeCell ref="C17:C18"/>
    <mergeCell ref="G17:G18"/>
    <mergeCell ref="D9:J11"/>
    <mergeCell ref="K17:N17"/>
    <mergeCell ref="B3:G3"/>
    <mergeCell ref="B4:G4"/>
    <mergeCell ref="B5:G5"/>
    <mergeCell ref="B6:G6"/>
    <mergeCell ref="B7:F7"/>
    <mergeCell ref="I4:M4"/>
    <mergeCell ref="I7:M7"/>
    <mergeCell ref="K13:M13"/>
    <mergeCell ref="K14:M14"/>
    <mergeCell ref="K15:M15"/>
    <mergeCell ref="H17:J17"/>
  </mergeCells>
  <printOptions/>
  <pageMargins left="0.87" right="0.29" top="0.26" bottom="0.68" header="0.2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3:N23"/>
  <sheetViews>
    <sheetView zoomScalePageLayoutView="0" workbookViewId="0" topLeftCell="B1">
      <selection activeCell="K13" sqref="K13:M13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7" ht="12.75">
      <c r="B3" s="20"/>
      <c r="C3" s="20"/>
      <c r="D3" s="20"/>
      <c r="E3" s="20"/>
      <c r="F3" s="20"/>
      <c r="G3" s="20"/>
    </row>
    <row r="4" spans="2:7" ht="12.75">
      <c r="B4" s="20"/>
      <c r="C4" s="20"/>
      <c r="D4" s="20"/>
      <c r="E4" s="20"/>
      <c r="F4" s="20"/>
      <c r="G4" s="20"/>
    </row>
    <row r="5" spans="2:13" ht="12.75">
      <c r="B5" s="20"/>
      <c r="C5" s="20"/>
      <c r="D5" s="20"/>
      <c r="E5" s="20"/>
      <c r="F5" s="20"/>
      <c r="I5" s="20"/>
      <c r="J5" s="20"/>
      <c r="K5" s="20"/>
      <c r="L5" s="20"/>
      <c r="M5" s="20"/>
    </row>
    <row r="8" spans="4:10" ht="12.75">
      <c r="D8" s="26" t="s">
        <v>32</v>
      </c>
      <c r="E8" s="26"/>
      <c r="F8" s="26"/>
      <c r="G8" s="26"/>
      <c r="H8" s="26"/>
      <c r="I8" s="26"/>
      <c r="J8" s="26"/>
    </row>
    <row r="9" spans="4:10" ht="12.75">
      <c r="D9" s="26"/>
      <c r="E9" s="26"/>
      <c r="F9" s="26"/>
      <c r="G9" s="26"/>
      <c r="H9" s="26"/>
      <c r="I9" s="26"/>
      <c r="J9" s="26"/>
    </row>
    <row r="11" spans="11:13" ht="12.75">
      <c r="K11" s="27" t="s">
        <v>46</v>
      </c>
      <c r="L11" s="27"/>
      <c r="M11" s="27"/>
    </row>
    <row r="12" spans="11:13" ht="12.75">
      <c r="K12" s="20" t="s">
        <v>11</v>
      </c>
      <c r="L12" s="20"/>
      <c r="M12" s="20"/>
    </row>
    <row r="13" spans="11:13" ht="12.75">
      <c r="K13" s="27" t="s">
        <v>33</v>
      </c>
      <c r="L13" s="27"/>
      <c r="M13" s="27"/>
    </row>
    <row r="15" spans="2:14" ht="25.5" customHeight="1">
      <c r="B15" s="24" t="s">
        <v>12</v>
      </c>
      <c r="C15" s="24" t="s">
        <v>13</v>
      </c>
      <c r="D15" s="21" t="s">
        <v>14</v>
      </c>
      <c r="E15" s="22"/>
      <c r="F15" s="23"/>
      <c r="G15" s="24" t="s">
        <v>15</v>
      </c>
      <c r="H15" s="21" t="s">
        <v>16</v>
      </c>
      <c r="I15" s="22"/>
      <c r="J15" s="23"/>
      <c r="K15" s="21" t="s">
        <v>17</v>
      </c>
      <c r="L15" s="22"/>
      <c r="M15" s="22"/>
      <c r="N15" s="23"/>
    </row>
    <row r="16" spans="2:14" ht="12.75">
      <c r="B16" s="25"/>
      <c r="C16" s="25"/>
      <c r="D16" s="3" t="s">
        <v>131</v>
      </c>
      <c r="E16" s="3" t="s">
        <v>132</v>
      </c>
      <c r="F16" s="3" t="s">
        <v>133</v>
      </c>
      <c r="G16" s="25"/>
      <c r="H16" s="3" t="s">
        <v>21</v>
      </c>
      <c r="I16" s="3" t="s">
        <v>22</v>
      </c>
      <c r="J16" s="3" t="s">
        <v>23</v>
      </c>
      <c r="K16" s="3" t="s">
        <v>24</v>
      </c>
      <c r="L16" s="3" t="s">
        <v>25</v>
      </c>
      <c r="M16" s="3" t="s">
        <v>26</v>
      </c>
      <c r="N16" s="3" t="s">
        <v>27</v>
      </c>
    </row>
    <row r="17" spans="2:14" ht="25.5">
      <c r="B17" s="4" t="s">
        <v>47</v>
      </c>
      <c r="C17" s="2" t="s">
        <v>48</v>
      </c>
      <c r="D17" s="5">
        <v>5.8</v>
      </c>
      <c r="E17" s="5">
        <v>7.5</v>
      </c>
      <c r="F17" s="5">
        <v>44.6</v>
      </c>
      <c r="G17" s="2">
        <v>258.7</v>
      </c>
      <c r="H17" s="5">
        <v>0.06</v>
      </c>
      <c r="I17" s="5">
        <v>0.02</v>
      </c>
      <c r="J17" s="5">
        <v>1</v>
      </c>
      <c r="K17" s="5">
        <v>130.2</v>
      </c>
      <c r="L17" s="5">
        <v>23.1</v>
      </c>
      <c r="M17" s="5">
        <v>0.9</v>
      </c>
      <c r="N17" s="5">
        <v>138.5</v>
      </c>
    </row>
    <row r="18" spans="2:14" ht="25.5">
      <c r="B18" s="4" t="s">
        <v>49</v>
      </c>
      <c r="C18" s="2">
        <v>100</v>
      </c>
      <c r="D18" s="5">
        <v>10.4</v>
      </c>
      <c r="E18" s="5">
        <v>12.2</v>
      </c>
      <c r="F18" s="5">
        <v>31.1</v>
      </c>
      <c r="G18" s="2">
        <v>267.3</v>
      </c>
      <c r="H18" s="5">
        <v>0.06</v>
      </c>
      <c r="I18" s="5">
        <v>0</v>
      </c>
      <c r="J18" s="5">
        <v>0</v>
      </c>
      <c r="K18" s="5">
        <v>22.8</v>
      </c>
      <c r="L18" s="5">
        <v>17.5</v>
      </c>
      <c r="M18" s="5">
        <v>1.4</v>
      </c>
      <c r="N18" s="5">
        <v>117.8</v>
      </c>
    </row>
    <row r="19" spans="2:14" ht="12.75">
      <c r="B19" s="6" t="s">
        <v>111</v>
      </c>
      <c r="C19" s="7">
        <v>200</v>
      </c>
      <c r="D19" s="7">
        <v>0.6</v>
      </c>
      <c r="E19" s="7">
        <v>0</v>
      </c>
      <c r="F19" s="7">
        <v>33.6</v>
      </c>
      <c r="G19" s="7">
        <v>129.4</v>
      </c>
      <c r="H19" s="7">
        <v>0</v>
      </c>
      <c r="I19" s="7">
        <v>0</v>
      </c>
      <c r="J19" s="7">
        <v>0.4</v>
      </c>
      <c r="K19" s="7">
        <v>16.6</v>
      </c>
      <c r="L19" s="7">
        <v>0</v>
      </c>
      <c r="M19" s="7">
        <v>9</v>
      </c>
      <c r="N19" s="7">
        <v>2.2</v>
      </c>
    </row>
    <row r="20" spans="2:14" ht="25.5">
      <c r="B20" s="6" t="s">
        <v>30</v>
      </c>
      <c r="C20" s="7">
        <v>25</v>
      </c>
      <c r="D20" s="7">
        <v>2.02</v>
      </c>
      <c r="E20" s="7">
        <v>0.37</v>
      </c>
      <c r="F20" s="7">
        <v>13.2</v>
      </c>
      <c r="G20" s="7">
        <v>64.5</v>
      </c>
      <c r="H20" s="7">
        <v>0</v>
      </c>
      <c r="I20" s="7">
        <v>0.11</v>
      </c>
      <c r="J20" s="7">
        <v>0</v>
      </c>
      <c r="K20" s="7">
        <v>0</v>
      </c>
      <c r="L20" s="7">
        <v>0</v>
      </c>
      <c r="M20" s="7">
        <v>0</v>
      </c>
      <c r="N20" s="7">
        <v>0.5</v>
      </c>
    </row>
    <row r="21" spans="2:14" ht="12.7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12.75">
      <c r="B22" s="16" t="s">
        <v>31</v>
      </c>
      <c r="C22" s="7"/>
      <c r="D22" s="7">
        <f>SUM(D17:D19)</f>
        <v>16.8</v>
      </c>
      <c r="E22" s="7">
        <f>SUM(E17:E19)</f>
        <v>19.7</v>
      </c>
      <c r="F22" s="7">
        <f>SUM(F17:F19)</f>
        <v>109.30000000000001</v>
      </c>
      <c r="G22" s="7">
        <f>SUM(G17:G20)</f>
        <v>719.9</v>
      </c>
      <c r="H22" s="7">
        <f aca="true" t="shared" si="0" ref="H22:N22">SUM(H17:H19)</f>
        <v>0.12</v>
      </c>
      <c r="I22" s="7">
        <f t="shared" si="0"/>
        <v>0.02</v>
      </c>
      <c r="J22" s="7">
        <f t="shared" si="0"/>
        <v>1.4</v>
      </c>
      <c r="K22" s="7">
        <f t="shared" si="0"/>
        <v>169.6</v>
      </c>
      <c r="L22" s="7">
        <f t="shared" si="0"/>
        <v>40.6</v>
      </c>
      <c r="M22" s="7">
        <f t="shared" si="0"/>
        <v>11.3</v>
      </c>
      <c r="N22" s="7">
        <f t="shared" si="0"/>
        <v>258.5</v>
      </c>
    </row>
    <row r="23" spans="2:14" ht="12.7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</sheetData>
  <sheetProtection/>
  <mergeCells count="14">
    <mergeCell ref="B15:B16"/>
    <mergeCell ref="C15:C16"/>
    <mergeCell ref="G15:G16"/>
    <mergeCell ref="B3:G3"/>
    <mergeCell ref="B4:G4"/>
    <mergeCell ref="B5:F5"/>
    <mergeCell ref="D15:F15"/>
    <mergeCell ref="D8:J9"/>
    <mergeCell ref="K15:N15"/>
    <mergeCell ref="I5:M5"/>
    <mergeCell ref="K11:M11"/>
    <mergeCell ref="K12:M12"/>
    <mergeCell ref="K13:M13"/>
    <mergeCell ref="H15:J15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3:O37"/>
  <sheetViews>
    <sheetView zoomScalePageLayoutView="0" workbookViewId="0" topLeftCell="A19">
      <selection activeCell="F18" sqref="F18"/>
    </sheetView>
  </sheetViews>
  <sheetFormatPr defaultColWidth="9.00390625" defaultRowHeight="12.75"/>
  <cols>
    <col min="1" max="1" width="0.74609375" style="0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1"/>
      <c r="J3" s="1"/>
      <c r="K3" s="1"/>
      <c r="L3" s="1"/>
      <c r="M3" s="1"/>
    </row>
    <row r="4" spans="2:13" ht="12.75"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</row>
    <row r="5" spans="2:7" ht="12.75">
      <c r="B5" s="20"/>
      <c r="C5" s="20"/>
      <c r="D5" s="20"/>
      <c r="E5" s="20"/>
      <c r="F5" s="20"/>
      <c r="G5" s="20"/>
    </row>
    <row r="6" spans="2:7" ht="12.75">
      <c r="B6" s="20"/>
      <c r="C6" s="20"/>
      <c r="D6" s="20"/>
      <c r="E6" s="20"/>
      <c r="F6" s="20"/>
      <c r="G6" s="20"/>
    </row>
    <row r="7" spans="2:13" ht="12.75">
      <c r="B7" s="20"/>
      <c r="C7" s="20"/>
      <c r="D7" s="20"/>
      <c r="E7" s="20"/>
      <c r="F7" s="20"/>
      <c r="I7" s="20"/>
      <c r="J7" s="20"/>
      <c r="K7" s="20"/>
      <c r="L7" s="20"/>
      <c r="M7" s="20"/>
    </row>
    <row r="9" spans="4:10" ht="12.75">
      <c r="D9" s="26" t="s">
        <v>76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1" spans="4:10" ht="12.75">
      <c r="D11" s="26"/>
      <c r="E11" s="26"/>
      <c r="F11" s="26"/>
      <c r="G11" s="26"/>
      <c r="H11" s="26"/>
      <c r="I11" s="26"/>
      <c r="J11" s="26"/>
    </row>
    <row r="13" spans="11:13" ht="12.75">
      <c r="K13" s="27" t="s">
        <v>68</v>
      </c>
      <c r="L13" s="27"/>
      <c r="M13" s="27"/>
    </row>
    <row r="14" spans="11:13" ht="12.75">
      <c r="K14" s="20" t="s">
        <v>11</v>
      </c>
      <c r="L14" s="20"/>
      <c r="M14" s="20"/>
    </row>
    <row r="15" spans="11:13" ht="12.75">
      <c r="K15" s="27" t="s">
        <v>112</v>
      </c>
      <c r="L15" s="27"/>
      <c r="M15" s="27"/>
    </row>
    <row r="17" spans="2:14" ht="25.5" customHeight="1">
      <c r="B17" s="24" t="s">
        <v>12</v>
      </c>
      <c r="C17" s="24" t="s">
        <v>13</v>
      </c>
      <c r="D17" s="21" t="s">
        <v>14</v>
      </c>
      <c r="E17" s="22"/>
      <c r="F17" s="23"/>
      <c r="G17" s="24" t="s">
        <v>15</v>
      </c>
      <c r="H17" s="21" t="s">
        <v>16</v>
      </c>
      <c r="I17" s="22"/>
      <c r="J17" s="23"/>
      <c r="K17" s="21" t="s">
        <v>17</v>
      </c>
      <c r="L17" s="22"/>
      <c r="M17" s="22"/>
      <c r="N17" s="23"/>
    </row>
    <row r="18" spans="2:14" ht="12.75">
      <c r="B18" s="25"/>
      <c r="C18" s="25"/>
      <c r="D18" s="3" t="s">
        <v>131</v>
      </c>
      <c r="E18" s="3" t="s">
        <v>132</v>
      </c>
      <c r="F18" s="3" t="s">
        <v>133</v>
      </c>
      <c r="G18" s="25"/>
      <c r="H18" s="3" t="s">
        <v>21</v>
      </c>
      <c r="I18" s="3" t="s">
        <v>22</v>
      </c>
      <c r="J18" s="3" t="s">
        <v>23</v>
      </c>
      <c r="K18" s="3" t="s">
        <v>24</v>
      </c>
      <c r="L18" s="3" t="s">
        <v>25</v>
      </c>
      <c r="M18" s="3" t="s">
        <v>26</v>
      </c>
      <c r="N18" s="3" t="s">
        <v>27</v>
      </c>
    </row>
    <row r="19" spans="2:14" ht="12.75">
      <c r="B19" s="15" t="s">
        <v>73</v>
      </c>
      <c r="C19" s="2"/>
      <c r="D19" s="11"/>
      <c r="E19" s="11"/>
      <c r="F19" s="11"/>
      <c r="G19" s="9"/>
      <c r="H19" s="11"/>
      <c r="I19" s="11"/>
      <c r="J19" s="11"/>
      <c r="K19" s="11"/>
      <c r="L19" s="11"/>
      <c r="M19" s="11"/>
      <c r="N19" s="11"/>
    </row>
    <row r="20" spans="2:14" ht="25.5">
      <c r="B20" s="6" t="s">
        <v>104</v>
      </c>
      <c r="C20" s="7" t="s">
        <v>48</v>
      </c>
      <c r="D20" s="10">
        <v>8.8</v>
      </c>
      <c r="E20" s="10">
        <v>5.7</v>
      </c>
      <c r="F20" s="10">
        <v>39</v>
      </c>
      <c r="G20" s="10">
        <v>236.1</v>
      </c>
      <c r="H20" s="10">
        <v>0.06</v>
      </c>
      <c r="I20" s="10">
        <v>0.2</v>
      </c>
      <c r="J20" s="10">
        <v>0.5</v>
      </c>
      <c r="K20" s="10">
        <v>134.5</v>
      </c>
      <c r="L20" s="10">
        <v>79.8</v>
      </c>
      <c r="M20" s="10">
        <v>255.5</v>
      </c>
      <c r="N20" s="10">
        <v>3.6</v>
      </c>
    </row>
    <row r="21" spans="2:14" ht="12.75">
      <c r="B21" s="6" t="s">
        <v>87</v>
      </c>
      <c r="C21" s="7" t="s">
        <v>105</v>
      </c>
      <c r="D21" s="10">
        <v>6.35</v>
      </c>
      <c r="E21" s="10">
        <v>5.75</v>
      </c>
      <c r="F21" s="10">
        <v>0.35</v>
      </c>
      <c r="G21" s="10">
        <v>78.5</v>
      </c>
      <c r="H21" s="10">
        <v>0.17</v>
      </c>
      <c r="I21" s="10">
        <v>0.03</v>
      </c>
      <c r="J21" s="10">
        <v>0</v>
      </c>
      <c r="K21" s="10">
        <v>27.5</v>
      </c>
      <c r="L21" s="10">
        <v>27</v>
      </c>
      <c r="M21" s="10">
        <v>92.5</v>
      </c>
      <c r="N21" s="10">
        <v>1.35</v>
      </c>
    </row>
    <row r="22" spans="2:14" ht="12.75">
      <c r="B22" s="6" t="s">
        <v>62</v>
      </c>
      <c r="C22" s="7">
        <v>25</v>
      </c>
      <c r="D22" s="10">
        <v>1.9</v>
      </c>
      <c r="E22" s="10">
        <v>0.15</v>
      </c>
      <c r="F22" s="10">
        <v>13</v>
      </c>
      <c r="G22" s="10">
        <v>58</v>
      </c>
      <c r="H22" s="10">
        <v>0</v>
      </c>
      <c r="I22" s="10">
        <v>0</v>
      </c>
      <c r="J22" s="10">
        <v>0</v>
      </c>
      <c r="K22" s="10">
        <v>5</v>
      </c>
      <c r="L22" s="10">
        <v>3.5</v>
      </c>
      <c r="M22" s="10">
        <v>16.3</v>
      </c>
      <c r="N22" s="10">
        <v>0.2</v>
      </c>
    </row>
    <row r="23" spans="2:14" ht="12.75">
      <c r="B23" s="6" t="s">
        <v>45</v>
      </c>
      <c r="C23" s="7">
        <v>200</v>
      </c>
      <c r="D23" s="10">
        <v>3.7</v>
      </c>
      <c r="E23" s="10">
        <v>3.9</v>
      </c>
      <c r="F23" s="10">
        <v>24.8</v>
      </c>
      <c r="G23" s="10">
        <v>147.7</v>
      </c>
      <c r="H23" s="10">
        <v>0.04</v>
      </c>
      <c r="I23" s="10">
        <v>0.02</v>
      </c>
      <c r="J23" s="10">
        <v>1</v>
      </c>
      <c r="K23" s="10">
        <v>120.7</v>
      </c>
      <c r="L23" s="10">
        <v>17.6</v>
      </c>
      <c r="M23" s="10">
        <v>0.6</v>
      </c>
      <c r="N23" s="10">
        <v>125.6</v>
      </c>
    </row>
    <row r="24" spans="2:14" ht="12.75">
      <c r="B24" s="4" t="s">
        <v>108</v>
      </c>
      <c r="C24" s="2">
        <v>30</v>
      </c>
      <c r="D24" s="10">
        <v>2.25</v>
      </c>
      <c r="E24" s="10">
        <v>3.54</v>
      </c>
      <c r="F24" s="10">
        <v>22.35</v>
      </c>
      <c r="G24" s="10">
        <v>130.8</v>
      </c>
      <c r="H24" s="10">
        <v>0</v>
      </c>
      <c r="I24" s="10">
        <v>0.01</v>
      </c>
      <c r="J24" s="10">
        <v>0</v>
      </c>
      <c r="K24" s="10">
        <v>8.7</v>
      </c>
      <c r="L24" s="10">
        <v>6</v>
      </c>
      <c r="M24" s="10">
        <v>27</v>
      </c>
      <c r="N24" s="10">
        <v>0.63</v>
      </c>
    </row>
    <row r="25" spans="2:14" ht="12.75">
      <c r="B25" s="4"/>
      <c r="C25" s="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2:14" ht="12.75">
      <c r="B26" s="17" t="s">
        <v>31</v>
      </c>
      <c r="C26" s="2"/>
      <c r="D26" s="10">
        <f aca="true" t="shared" si="0" ref="D26:N26">SUM(D20:D24)</f>
        <v>23</v>
      </c>
      <c r="E26" s="10">
        <f t="shared" si="0"/>
        <v>19.04</v>
      </c>
      <c r="F26" s="10">
        <f t="shared" si="0"/>
        <v>99.5</v>
      </c>
      <c r="G26" s="10">
        <f t="shared" si="0"/>
        <v>651.0999999999999</v>
      </c>
      <c r="H26" s="10">
        <f t="shared" si="0"/>
        <v>0.27</v>
      </c>
      <c r="I26" s="10">
        <f t="shared" si="0"/>
        <v>0.26</v>
      </c>
      <c r="J26" s="10">
        <f t="shared" si="0"/>
        <v>1.5</v>
      </c>
      <c r="K26" s="10">
        <f t="shared" si="0"/>
        <v>296.4</v>
      </c>
      <c r="L26" s="10">
        <f t="shared" si="0"/>
        <v>133.9</v>
      </c>
      <c r="M26" s="10">
        <f t="shared" si="0"/>
        <v>391.90000000000003</v>
      </c>
      <c r="N26" s="10">
        <f t="shared" si="0"/>
        <v>131.38</v>
      </c>
    </row>
    <row r="27" spans="2:14" ht="12.75">
      <c r="B27" s="15" t="s">
        <v>74</v>
      </c>
      <c r="C27" s="2"/>
      <c r="D27" s="11"/>
      <c r="E27" s="11"/>
      <c r="F27" s="11"/>
      <c r="G27" s="9"/>
      <c r="H27" s="11"/>
      <c r="I27" s="11"/>
      <c r="J27" s="11"/>
      <c r="K27" s="11"/>
      <c r="L27" s="11"/>
      <c r="M27" s="11"/>
      <c r="N27" s="11"/>
    </row>
    <row r="28" spans="2:14" ht="25.5">
      <c r="B28" s="6" t="s">
        <v>106</v>
      </c>
      <c r="C28" s="7">
        <v>250</v>
      </c>
      <c r="D28" s="10">
        <v>2.9</v>
      </c>
      <c r="E28" s="10">
        <v>2.2</v>
      </c>
      <c r="F28" s="10">
        <v>24</v>
      </c>
      <c r="G28" s="10">
        <v>121</v>
      </c>
      <c r="H28" s="10">
        <v>0.9</v>
      </c>
      <c r="I28" s="10">
        <v>0.12</v>
      </c>
      <c r="J28" s="10">
        <v>16.5</v>
      </c>
      <c r="K28" s="10">
        <v>17.5</v>
      </c>
      <c r="L28" s="10">
        <v>24.1</v>
      </c>
      <c r="M28" s="10">
        <v>63.5</v>
      </c>
      <c r="N28" s="10">
        <v>1</v>
      </c>
    </row>
    <row r="29" spans="2:14" ht="12.75">
      <c r="B29" s="6" t="s">
        <v>126</v>
      </c>
      <c r="C29" s="7">
        <v>100</v>
      </c>
      <c r="D29" s="10">
        <f>16.1-0.4</f>
        <v>15.700000000000001</v>
      </c>
      <c r="E29" s="10">
        <f>14.76-3.6</f>
        <v>11.16</v>
      </c>
      <c r="F29" s="10">
        <f>14.05-0.06</f>
        <v>13.99</v>
      </c>
      <c r="G29" s="10">
        <f>250.38-33</f>
        <v>217.38</v>
      </c>
      <c r="H29" s="10">
        <v>0</v>
      </c>
      <c r="I29" s="10">
        <v>0</v>
      </c>
      <c r="J29" s="10">
        <v>0</v>
      </c>
      <c r="K29" s="10">
        <f>38.66-1.2</f>
        <v>37.459999999999994</v>
      </c>
      <c r="L29" s="10">
        <f>22+0.02</f>
        <v>22.02</v>
      </c>
      <c r="M29" s="10">
        <f>178+1.5</f>
        <v>179.5</v>
      </c>
      <c r="N29" s="10">
        <f>1.6+0.01</f>
        <v>1.61</v>
      </c>
    </row>
    <row r="30" spans="2:14" ht="12.75">
      <c r="B30" s="6" t="s">
        <v>35</v>
      </c>
      <c r="C30" s="7">
        <v>50</v>
      </c>
      <c r="D30" s="10">
        <v>0.4</v>
      </c>
      <c r="E30" s="10">
        <v>0.81</v>
      </c>
      <c r="F30" s="10">
        <v>3.55</v>
      </c>
      <c r="G30" s="10">
        <v>22.9</v>
      </c>
      <c r="H30" s="10">
        <v>0</v>
      </c>
      <c r="I30" s="10">
        <v>0</v>
      </c>
      <c r="J30" s="10">
        <v>1.6</v>
      </c>
      <c r="K30" s="10">
        <v>3.8</v>
      </c>
      <c r="L30" s="10">
        <v>2</v>
      </c>
      <c r="M30" s="10">
        <v>8.4</v>
      </c>
      <c r="N30" s="10">
        <v>0.2</v>
      </c>
    </row>
    <row r="31" spans="2:15" ht="12.75">
      <c r="B31" s="6" t="s">
        <v>28</v>
      </c>
      <c r="C31" s="7">
        <v>200</v>
      </c>
      <c r="D31" s="10">
        <f>4.7*200/150</f>
        <v>6.266666666666667</v>
      </c>
      <c r="E31" s="10">
        <f>4.9*200/150</f>
        <v>6.533333333333334</v>
      </c>
      <c r="F31" s="10">
        <f>36.9*200/150</f>
        <v>49.2</v>
      </c>
      <c r="G31" s="10">
        <f>201.1*200/150</f>
        <v>268.1333333333333</v>
      </c>
      <c r="H31" s="10">
        <f>0.02*200/150</f>
        <v>0.02666666666666667</v>
      </c>
      <c r="I31" s="10">
        <f>0.06*200/150</f>
        <v>0.08</v>
      </c>
      <c r="J31" s="10">
        <v>0</v>
      </c>
      <c r="K31" s="10">
        <f>20.1*200/150</f>
        <v>26.800000000000004</v>
      </c>
      <c r="L31" s="10">
        <f>9.2*200/150</f>
        <v>12.266666666666666</v>
      </c>
      <c r="M31" s="10">
        <f>162.5*200/150</f>
        <v>216.66666666666666</v>
      </c>
      <c r="N31" s="10">
        <f>1.65*200/150</f>
        <v>2.2</v>
      </c>
      <c r="O31" t="s">
        <v>130</v>
      </c>
    </row>
    <row r="32" spans="2:14" ht="25.5">
      <c r="B32" s="6" t="s">
        <v>30</v>
      </c>
      <c r="C32" s="7">
        <v>25</v>
      </c>
      <c r="D32" s="10">
        <v>2.02</v>
      </c>
      <c r="E32" s="10">
        <v>0.37</v>
      </c>
      <c r="F32" s="10">
        <v>13.2</v>
      </c>
      <c r="G32" s="10">
        <v>64.5</v>
      </c>
      <c r="H32" s="10">
        <v>0</v>
      </c>
      <c r="I32" s="10">
        <v>0.11</v>
      </c>
      <c r="J32" s="10">
        <v>0</v>
      </c>
      <c r="K32" s="10">
        <v>0</v>
      </c>
      <c r="L32" s="10">
        <v>0</v>
      </c>
      <c r="M32" s="10">
        <v>0</v>
      </c>
      <c r="N32" s="10">
        <v>0.5</v>
      </c>
    </row>
    <row r="33" spans="2:14" ht="12.75">
      <c r="B33" s="6" t="s">
        <v>29</v>
      </c>
      <c r="C33" s="7">
        <v>200</v>
      </c>
      <c r="D33" s="10">
        <v>0.6</v>
      </c>
      <c r="E33" s="10">
        <v>0</v>
      </c>
      <c r="F33" s="10">
        <v>33.6</v>
      </c>
      <c r="G33" s="10">
        <v>129.4</v>
      </c>
      <c r="H33" s="10">
        <v>0</v>
      </c>
      <c r="I33" s="10">
        <v>0</v>
      </c>
      <c r="J33" s="10">
        <v>0.4</v>
      </c>
      <c r="K33" s="10">
        <v>16.6</v>
      </c>
      <c r="L33" s="10">
        <v>0</v>
      </c>
      <c r="M33" s="10">
        <v>9</v>
      </c>
      <c r="N33" s="10">
        <v>2.2</v>
      </c>
    </row>
    <row r="34" spans="2:14" ht="12.75">
      <c r="B34" s="6"/>
      <c r="C34" s="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ht="12.75">
      <c r="B35" s="16" t="s">
        <v>31</v>
      </c>
      <c r="C35" s="7"/>
      <c r="D35" s="10">
        <f aca="true" t="shared" si="1" ref="D35:N35">SUM(D28:D33)</f>
        <v>27.886666666666667</v>
      </c>
      <c r="E35" s="10">
        <f t="shared" si="1"/>
        <v>21.073333333333334</v>
      </c>
      <c r="F35" s="10">
        <f t="shared" si="1"/>
        <v>137.54000000000002</v>
      </c>
      <c r="G35" s="10">
        <f t="shared" si="1"/>
        <v>823.3133333333333</v>
      </c>
      <c r="H35" s="10">
        <f t="shared" si="1"/>
        <v>0.9266666666666666</v>
      </c>
      <c r="I35" s="10">
        <f t="shared" si="1"/>
        <v>0.31</v>
      </c>
      <c r="J35" s="10">
        <f t="shared" si="1"/>
        <v>18.5</v>
      </c>
      <c r="K35" s="10">
        <f t="shared" si="1"/>
        <v>102.16</v>
      </c>
      <c r="L35" s="10">
        <f t="shared" si="1"/>
        <v>60.38666666666667</v>
      </c>
      <c r="M35" s="10">
        <f t="shared" si="1"/>
        <v>477.06666666666666</v>
      </c>
      <c r="N35" s="10">
        <f t="shared" si="1"/>
        <v>7.710000000000001</v>
      </c>
    </row>
    <row r="36" spans="2:14" ht="12.75">
      <c r="B36" s="16" t="s">
        <v>75</v>
      </c>
      <c r="C36" s="7"/>
      <c r="D36" s="10">
        <f aca="true" t="shared" si="2" ref="D36:N36">D26+D35</f>
        <v>50.88666666666667</v>
      </c>
      <c r="E36" s="10">
        <f t="shared" si="2"/>
        <v>40.11333333333333</v>
      </c>
      <c r="F36" s="10">
        <f t="shared" si="2"/>
        <v>237.04000000000002</v>
      </c>
      <c r="G36" s="10">
        <f t="shared" si="2"/>
        <v>1474.4133333333332</v>
      </c>
      <c r="H36" s="10">
        <f t="shared" si="2"/>
        <v>1.1966666666666668</v>
      </c>
      <c r="I36" s="10">
        <f t="shared" si="2"/>
        <v>0.5700000000000001</v>
      </c>
      <c r="J36" s="10">
        <f t="shared" si="2"/>
        <v>20</v>
      </c>
      <c r="K36" s="10">
        <f t="shared" si="2"/>
        <v>398.55999999999995</v>
      </c>
      <c r="L36" s="10">
        <f t="shared" si="2"/>
        <v>194.2866666666667</v>
      </c>
      <c r="M36" s="10">
        <f t="shared" si="2"/>
        <v>868.9666666666667</v>
      </c>
      <c r="N36" s="10">
        <f t="shared" si="2"/>
        <v>139.09</v>
      </c>
    </row>
    <row r="37" spans="2:14" ht="12.75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</sheetData>
  <sheetProtection/>
  <mergeCells count="17">
    <mergeCell ref="I4:M4"/>
    <mergeCell ref="I7:M7"/>
    <mergeCell ref="K13:M13"/>
    <mergeCell ref="K14:M14"/>
    <mergeCell ref="K15:M15"/>
    <mergeCell ref="H17:J17"/>
    <mergeCell ref="B17:B18"/>
    <mergeCell ref="C17:C18"/>
    <mergeCell ref="G17:G18"/>
    <mergeCell ref="D9:J11"/>
    <mergeCell ref="K17:N17"/>
    <mergeCell ref="B3:G3"/>
    <mergeCell ref="B4:G4"/>
    <mergeCell ref="B5:G5"/>
    <mergeCell ref="B6:G6"/>
    <mergeCell ref="B7:F7"/>
    <mergeCell ref="D17:F17"/>
  </mergeCells>
  <printOptions/>
  <pageMargins left="0.87" right="0.29" top="0.26" bottom="0.47" header="0.28" footer="0.26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3:N24"/>
  <sheetViews>
    <sheetView zoomScalePageLayoutView="0" workbookViewId="0" topLeftCell="B1">
      <selection activeCell="K14" sqref="K14:M14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20"/>
      <c r="J3" s="20"/>
      <c r="K3" s="20"/>
      <c r="L3" s="20"/>
      <c r="M3" s="20"/>
    </row>
    <row r="4" spans="2:7" ht="12.75">
      <c r="B4" s="20"/>
      <c r="C4" s="20"/>
      <c r="D4" s="20"/>
      <c r="E4" s="20"/>
      <c r="F4" s="20"/>
      <c r="G4" s="20"/>
    </row>
    <row r="5" spans="2:7" ht="12.75">
      <c r="B5" s="20"/>
      <c r="C5" s="20"/>
      <c r="D5" s="20"/>
      <c r="E5" s="20"/>
      <c r="F5" s="20"/>
      <c r="G5" s="20"/>
    </row>
    <row r="6" spans="2:13" ht="12.75">
      <c r="B6" s="20"/>
      <c r="C6" s="20"/>
      <c r="D6" s="20"/>
      <c r="E6" s="20"/>
      <c r="F6" s="20"/>
      <c r="I6" s="20"/>
      <c r="J6" s="20"/>
      <c r="K6" s="20"/>
      <c r="L6" s="20"/>
      <c r="M6" s="20"/>
    </row>
    <row r="9" spans="4:10" ht="12.75">
      <c r="D9" s="26" t="s">
        <v>32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2" spans="11:13" ht="12.75">
      <c r="K12" s="27" t="s">
        <v>50</v>
      </c>
      <c r="L12" s="27"/>
      <c r="M12" s="27"/>
    </row>
    <row r="13" spans="11:13" ht="12.75">
      <c r="K13" s="20" t="s">
        <v>11</v>
      </c>
      <c r="L13" s="20"/>
      <c r="M13" s="20"/>
    </row>
    <row r="14" spans="11:13" ht="12.75">
      <c r="K14" s="27" t="s">
        <v>33</v>
      </c>
      <c r="L14" s="27"/>
      <c r="M14" s="27"/>
    </row>
    <row r="16" spans="2:14" ht="25.5" customHeight="1">
      <c r="B16" s="24" t="s">
        <v>12</v>
      </c>
      <c r="C16" s="24" t="s">
        <v>13</v>
      </c>
      <c r="D16" s="21" t="s">
        <v>14</v>
      </c>
      <c r="E16" s="22"/>
      <c r="F16" s="23"/>
      <c r="G16" s="24" t="s">
        <v>15</v>
      </c>
      <c r="H16" s="21" t="s">
        <v>16</v>
      </c>
      <c r="I16" s="22"/>
      <c r="J16" s="23"/>
      <c r="K16" s="21" t="s">
        <v>17</v>
      </c>
      <c r="L16" s="22"/>
      <c r="M16" s="22"/>
      <c r="N16" s="23"/>
    </row>
    <row r="17" spans="2:14" ht="12.75">
      <c r="B17" s="25"/>
      <c r="C17" s="25"/>
      <c r="D17" s="3" t="s">
        <v>131</v>
      </c>
      <c r="E17" s="3" t="s">
        <v>132</v>
      </c>
      <c r="F17" s="3" t="s">
        <v>133</v>
      </c>
      <c r="G17" s="25"/>
      <c r="H17" s="3" t="s">
        <v>21</v>
      </c>
      <c r="I17" s="3" t="s">
        <v>22</v>
      </c>
      <c r="J17" s="3" t="s">
        <v>23</v>
      </c>
      <c r="K17" s="3" t="s">
        <v>24</v>
      </c>
      <c r="L17" s="3" t="s">
        <v>25</v>
      </c>
      <c r="M17" s="3" t="s">
        <v>26</v>
      </c>
      <c r="N17" s="3" t="s">
        <v>27</v>
      </c>
    </row>
    <row r="18" spans="2:14" ht="12.75">
      <c r="B18" s="4" t="s">
        <v>51</v>
      </c>
      <c r="C18" s="2" t="s">
        <v>110</v>
      </c>
      <c r="D18" s="5">
        <v>25.6</v>
      </c>
      <c r="E18" s="5">
        <f>14.8*80/50</f>
        <v>23.68</v>
      </c>
      <c r="F18" s="5">
        <f>5.8*80/50</f>
        <v>9.28</v>
      </c>
      <c r="G18" s="2">
        <f>219.8*80/50</f>
        <v>351.68</v>
      </c>
      <c r="H18" s="5">
        <v>0</v>
      </c>
      <c r="I18" s="5">
        <f>0.1*80/50</f>
        <v>0.16</v>
      </c>
      <c r="J18" s="5">
        <f>4.6*80/50</f>
        <v>7.36</v>
      </c>
      <c r="K18" s="5">
        <f>14.8*80/50</f>
        <v>23.68</v>
      </c>
      <c r="L18" s="5">
        <f>19.3*80/50</f>
        <v>30.88</v>
      </c>
      <c r="M18" s="5">
        <f>176.9*80/50</f>
        <v>283.04</v>
      </c>
      <c r="N18" s="5">
        <f>2.3*80/50</f>
        <v>3.68</v>
      </c>
    </row>
    <row r="19" spans="2:14" ht="12.75">
      <c r="B19" s="4" t="s">
        <v>52</v>
      </c>
      <c r="C19" s="2">
        <v>150</v>
      </c>
      <c r="D19" s="5">
        <v>7.95</v>
      </c>
      <c r="E19" s="5">
        <v>5.85</v>
      </c>
      <c r="F19" s="5">
        <v>42.6</v>
      </c>
      <c r="G19" s="2">
        <v>245.1</v>
      </c>
      <c r="H19" s="5">
        <v>0</v>
      </c>
      <c r="I19" s="5">
        <v>0.3</v>
      </c>
      <c r="J19" s="5">
        <v>0</v>
      </c>
      <c r="K19" s="5">
        <v>44.85</v>
      </c>
      <c r="L19" s="5">
        <v>61.05</v>
      </c>
      <c r="M19" s="5">
        <v>176.45</v>
      </c>
      <c r="N19" s="5">
        <v>4.95</v>
      </c>
    </row>
    <row r="20" spans="2:14" ht="12.75">
      <c r="B20" s="6" t="s">
        <v>36</v>
      </c>
      <c r="C20" s="7" t="s">
        <v>37</v>
      </c>
      <c r="D20" s="7">
        <v>0</v>
      </c>
      <c r="E20" s="7">
        <v>0</v>
      </c>
      <c r="F20" s="7">
        <v>14.35</v>
      </c>
      <c r="G20" s="7">
        <v>58.5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2:14" ht="25.5">
      <c r="B21" s="6" t="s">
        <v>30</v>
      </c>
      <c r="C21" s="7">
        <v>25</v>
      </c>
      <c r="D21" s="7">
        <v>2.02</v>
      </c>
      <c r="E21" s="7">
        <v>0.37</v>
      </c>
      <c r="F21" s="7">
        <v>13.2</v>
      </c>
      <c r="G21" s="7">
        <v>64.5</v>
      </c>
      <c r="H21" s="7">
        <v>0</v>
      </c>
      <c r="I21" s="7">
        <v>0.11</v>
      </c>
      <c r="J21" s="7">
        <v>0</v>
      </c>
      <c r="K21" s="7">
        <v>0</v>
      </c>
      <c r="L21" s="7">
        <v>0</v>
      </c>
      <c r="M21" s="7">
        <v>0</v>
      </c>
      <c r="N21" s="7">
        <v>0.5</v>
      </c>
    </row>
    <row r="22" spans="2:14" ht="12.7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12.75">
      <c r="B23" s="16" t="s">
        <v>31</v>
      </c>
      <c r="C23" s="7"/>
      <c r="D23" s="7">
        <f>SUM(D18:D20)</f>
        <v>33.550000000000004</v>
      </c>
      <c r="E23" s="7">
        <f>SUM(E18:E20)</f>
        <v>29.53</v>
      </c>
      <c r="F23" s="7">
        <f>SUM(F18:F20)</f>
        <v>66.23</v>
      </c>
      <c r="G23" s="7">
        <f>SUM(G18:G21)</f>
        <v>719.78</v>
      </c>
      <c r="H23" s="7">
        <f aca="true" t="shared" si="0" ref="H23:N23">SUM(H18:H20)</f>
        <v>0</v>
      </c>
      <c r="I23" s="7">
        <f t="shared" si="0"/>
        <v>0.45999999999999996</v>
      </c>
      <c r="J23" s="7">
        <f t="shared" si="0"/>
        <v>7.36</v>
      </c>
      <c r="K23" s="7">
        <f t="shared" si="0"/>
        <v>68.53</v>
      </c>
      <c r="L23" s="7">
        <f t="shared" si="0"/>
        <v>91.92999999999999</v>
      </c>
      <c r="M23" s="7">
        <f t="shared" si="0"/>
        <v>459.49</v>
      </c>
      <c r="N23" s="7">
        <f t="shared" si="0"/>
        <v>8.63</v>
      </c>
    </row>
    <row r="24" spans="2:14" ht="12.75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</sheetData>
  <sheetProtection/>
  <mergeCells count="16">
    <mergeCell ref="K16:N16"/>
    <mergeCell ref="I3:M3"/>
    <mergeCell ref="I6:M6"/>
    <mergeCell ref="K12:M12"/>
    <mergeCell ref="K13:M13"/>
    <mergeCell ref="K14:M14"/>
    <mergeCell ref="H16:J16"/>
    <mergeCell ref="B16:B17"/>
    <mergeCell ref="C16:C17"/>
    <mergeCell ref="G16:G17"/>
    <mergeCell ref="B3:G3"/>
    <mergeCell ref="B4:G4"/>
    <mergeCell ref="B5:G5"/>
    <mergeCell ref="B6:F6"/>
    <mergeCell ref="D9:J10"/>
    <mergeCell ref="D16:F16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B3:N24"/>
  <sheetViews>
    <sheetView zoomScalePageLayoutView="0" workbookViewId="0" topLeftCell="B1">
      <selection activeCell="K14" sqref="K14:M14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20"/>
      <c r="J3" s="20"/>
      <c r="K3" s="20"/>
      <c r="L3" s="20"/>
      <c r="M3" s="20"/>
    </row>
    <row r="4" spans="2:7" ht="12.75">
      <c r="B4" s="20"/>
      <c r="C4" s="20"/>
      <c r="D4" s="20"/>
      <c r="E4" s="20"/>
      <c r="F4" s="20"/>
      <c r="G4" s="20"/>
    </row>
    <row r="5" spans="2:7" ht="12.75">
      <c r="B5" s="20"/>
      <c r="C5" s="20"/>
      <c r="D5" s="20"/>
      <c r="E5" s="20"/>
      <c r="F5" s="20"/>
      <c r="G5" s="20"/>
    </row>
    <row r="6" spans="2:13" ht="12.75">
      <c r="B6" s="20"/>
      <c r="C6" s="20"/>
      <c r="D6" s="20"/>
      <c r="E6" s="20"/>
      <c r="F6" s="20"/>
      <c r="I6" s="20"/>
      <c r="J6" s="20"/>
      <c r="K6" s="20"/>
      <c r="L6" s="20"/>
      <c r="M6" s="20"/>
    </row>
    <row r="9" spans="4:10" ht="12.75">
      <c r="D9" s="26" t="s">
        <v>32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2" spans="11:13" ht="12.75">
      <c r="K12" s="27" t="s">
        <v>53</v>
      </c>
      <c r="L12" s="27"/>
      <c r="M12" s="27"/>
    </row>
    <row r="13" spans="11:13" ht="12.75">
      <c r="K13" s="20" t="s">
        <v>11</v>
      </c>
      <c r="L13" s="20"/>
      <c r="M13" s="20"/>
    </row>
    <row r="14" spans="11:13" ht="12.75">
      <c r="K14" s="27" t="s">
        <v>33</v>
      </c>
      <c r="L14" s="27"/>
      <c r="M14" s="27"/>
    </row>
    <row r="16" spans="2:14" ht="25.5" customHeight="1">
      <c r="B16" s="24" t="s">
        <v>12</v>
      </c>
      <c r="C16" s="24" t="s">
        <v>13</v>
      </c>
      <c r="D16" s="21" t="s">
        <v>14</v>
      </c>
      <c r="E16" s="22"/>
      <c r="F16" s="23"/>
      <c r="G16" s="24" t="s">
        <v>15</v>
      </c>
      <c r="H16" s="21" t="s">
        <v>16</v>
      </c>
      <c r="I16" s="22"/>
      <c r="J16" s="23"/>
      <c r="K16" s="21" t="s">
        <v>17</v>
      </c>
      <c r="L16" s="22"/>
      <c r="M16" s="22"/>
      <c r="N16" s="23"/>
    </row>
    <row r="17" spans="2:14" ht="12.75">
      <c r="B17" s="25"/>
      <c r="C17" s="25"/>
      <c r="D17" s="3" t="s">
        <v>131</v>
      </c>
      <c r="E17" s="3" t="s">
        <v>132</v>
      </c>
      <c r="F17" s="3" t="s">
        <v>133</v>
      </c>
      <c r="G17" s="25"/>
      <c r="H17" s="3" t="s">
        <v>21</v>
      </c>
      <c r="I17" s="3" t="s">
        <v>22</v>
      </c>
      <c r="J17" s="3" t="s">
        <v>23</v>
      </c>
      <c r="K17" s="3" t="s">
        <v>24</v>
      </c>
      <c r="L17" s="3" t="s">
        <v>25</v>
      </c>
      <c r="M17" s="3" t="s">
        <v>26</v>
      </c>
      <c r="N17" s="3" t="s">
        <v>27</v>
      </c>
    </row>
    <row r="18" spans="2:14" ht="25.5">
      <c r="B18" s="4" t="s">
        <v>54</v>
      </c>
      <c r="C18" s="2" t="s">
        <v>55</v>
      </c>
      <c r="D18" s="5">
        <v>15.2</v>
      </c>
      <c r="E18" s="5">
        <v>15.65</v>
      </c>
      <c r="F18" s="5">
        <v>97.8</v>
      </c>
      <c r="G18" s="2">
        <v>568.3</v>
      </c>
      <c r="H18" s="5">
        <v>0.025</v>
      </c>
      <c r="I18" s="5">
        <v>0.13</v>
      </c>
      <c r="J18" s="5">
        <v>0.5</v>
      </c>
      <c r="K18" s="5">
        <v>170.8</v>
      </c>
      <c r="L18" s="5">
        <v>32.6</v>
      </c>
      <c r="M18" s="5">
        <v>189.1</v>
      </c>
      <c r="N18" s="5">
        <v>1.2</v>
      </c>
    </row>
    <row r="19" spans="2:14" ht="25.5">
      <c r="B19" s="4" t="s">
        <v>56</v>
      </c>
      <c r="C19" s="2">
        <v>200</v>
      </c>
      <c r="D19" s="5">
        <v>0</v>
      </c>
      <c r="E19" s="5">
        <v>0</v>
      </c>
      <c r="F19" s="5">
        <v>8.4</v>
      </c>
      <c r="G19" s="2">
        <v>33</v>
      </c>
      <c r="H19" s="5">
        <v>0.5</v>
      </c>
      <c r="I19" s="5">
        <v>0.49</v>
      </c>
      <c r="J19" s="5">
        <v>30</v>
      </c>
      <c r="K19" s="5">
        <v>0</v>
      </c>
      <c r="L19" s="5">
        <v>0</v>
      </c>
      <c r="M19" s="5">
        <v>0</v>
      </c>
      <c r="N19" s="5">
        <v>0</v>
      </c>
    </row>
    <row r="20" spans="2:14" ht="12.75">
      <c r="B20" s="6" t="s">
        <v>57</v>
      </c>
      <c r="C20" s="7">
        <v>15</v>
      </c>
      <c r="D20" s="7">
        <f>0.96*15/20</f>
        <v>0.72</v>
      </c>
      <c r="E20" s="7">
        <f>6.94*15/20</f>
        <v>5.205</v>
      </c>
      <c r="F20" s="7">
        <f>11.52*15/20</f>
        <v>8.639999999999999</v>
      </c>
      <c r="G20" s="7">
        <f>109.8*15/20</f>
        <v>82.35</v>
      </c>
      <c r="H20" s="7">
        <v>0</v>
      </c>
      <c r="I20" s="7">
        <v>0</v>
      </c>
      <c r="J20" s="7">
        <v>0</v>
      </c>
      <c r="K20" s="7">
        <f>0.6*15/20</f>
        <v>0.45</v>
      </c>
      <c r="L20" s="7">
        <f>1.4*15/20</f>
        <v>1.05</v>
      </c>
      <c r="M20" s="7">
        <f>11.4*15/20</f>
        <v>8.55</v>
      </c>
      <c r="N20" s="7">
        <f>0.2*15/20</f>
        <v>0.15</v>
      </c>
    </row>
    <row r="21" spans="2:14" ht="12.7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12.7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12.75">
      <c r="B23" s="16" t="s">
        <v>31</v>
      </c>
      <c r="C23" s="7"/>
      <c r="D23" s="7">
        <f>SUM(D18:D20)</f>
        <v>15.92</v>
      </c>
      <c r="E23" s="7">
        <f>SUM(E18:E20)</f>
        <v>20.855</v>
      </c>
      <c r="F23" s="7">
        <f>SUM(F18:F20)</f>
        <v>114.84</v>
      </c>
      <c r="G23" s="7">
        <f>SUM(G18:G21)</f>
        <v>683.65</v>
      </c>
      <c r="H23" s="7">
        <f aca="true" t="shared" si="0" ref="H23:N23">SUM(H18:H20)</f>
        <v>0.525</v>
      </c>
      <c r="I23" s="7">
        <f t="shared" si="0"/>
        <v>0.62</v>
      </c>
      <c r="J23" s="7">
        <f t="shared" si="0"/>
        <v>30.5</v>
      </c>
      <c r="K23" s="7">
        <f t="shared" si="0"/>
        <v>171.25</v>
      </c>
      <c r="L23" s="7">
        <f t="shared" si="0"/>
        <v>33.65</v>
      </c>
      <c r="M23" s="7">
        <f t="shared" si="0"/>
        <v>197.65</v>
      </c>
      <c r="N23" s="7">
        <f t="shared" si="0"/>
        <v>1.3499999999999999</v>
      </c>
    </row>
    <row r="24" spans="2:14" ht="12.75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</sheetData>
  <sheetProtection/>
  <mergeCells count="16">
    <mergeCell ref="B16:B17"/>
    <mergeCell ref="C16:C17"/>
    <mergeCell ref="G16:G17"/>
    <mergeCell ref="B3:G3"/>
    <mergeCell ref="B4:G4"/>
    <mergeCell ref="B5:G5"/>
    <mergeCell ref="B6:F6"/>
    <mergeCell ref="D9:J10"/>
    <mergeCell ref="D16:F16"/>
    <mergeCell ref="K16:N16"/>
    <mergeCell ref="I3:M3"/>
    <mergeCell ref="I6:M6"/>
    <mergeCell ref="K12:M12"/>
    <mergeCell ref="K13:M13"/>
    <mergeCell ref="K14:M14"/>
    <mergeCell ref="H16:J16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B3:N24"/>
  <sheetViews>
    <sheetView zoomScalePageLayoutView="0" workbookViewId="0" topLeftCell="B1">
      <selection activeCell="K13" sqref="K13:M13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7" ht="12.75">
      <c r="B3" s="20"/>
      <c r="C3" s="20"/>
      <c r="D3" s="20"/>
      <c r="E3" s="20"/>
      <c r="F3" s="20"/>
      <c r="G3" s="20"/>
    </row>
    <row r="4" spans="2:7" ht="12.75">
      <c r="B4" s="20"/>
      <c r="C4" s="20"/>
      <c r="D4" s="20"/>
      <c r="E4" s="20"/>
      <c r="F4" s="20"/>
      <c r="G4" s="20"/>
    </row>
    <row r="5" spans="2:13" ht="12.75">
      <c r="B5" s="20"/>
      <c r="C5" s="20"/>
      <c r="D5" s="20"/>
      <c r="E5" s="20"/>
      <c r="F5" s="20"/>
      <c r="I5" s="20"/>
      <c r="J5" s="20"/>
      <c r="K5" s="20"/>
      <c r="L5" s="20"/>
      <c r="M5" s="20"/>
    </row>
    <row r="8" spans="4:10" ht="12.75">
      <c r="D8" s="26" t="s">
        <v>32</v>
      </c>
      <c r="E8" s="26"/>
      <c r="F8" s="26"/>
      <c r="G8" s="26"/>
      <c r="H8" s="26"/>
      <c r="I8" s="26"/>
      <c r="J8" s="26"/>
    </row>
    <row r="9" spans="4:10" ht="12.75">
      <c r="D9" s="26"/>
      <c r="E9" s="26"/>
      <c r="F9" s="26"/>
      <c r="G9" s="26"/>
      <c r="H9" s="26"/>
      <c r="I9" s="26"/>
      <c r="J9" s="26"/>
    </row>
    <row r="11" spans="11:13" ht="12.75">
      <c r="K11" s="27" t="s">
        <v>58</v>
      </c>
      <c r="L11" s="27"/>
      <c r="M11" s="27"/>
    </row>
    <row r="12" spans="11:13" ht="12.75">
      <c r="K12" s="20" t="s">
        <v>11</v>
      </c>
      <c r="L12" s="20"/>
      <c r="M12" s="20"/>
    </row>
    <row r="13" spans="11:13" ht="12.75">
      <c r="K13" s="27" t="s">
        <v>33</v>
      </c>
      <c r="L13" s="27"/>
      <c r="M13" s="27"/>
    </row>
    <row r="15" spans="2:14" ht="25.5" customHeight="1">
      <c r="B15" s="24" t="s">
        <v>12</v>
      </c>
      <c r="C15" s="24" t="s">
        <v>13</v>
      </c>
      <c r="D15" s="21" t="s">
        <v>14</v>
      </c>
      <c r="E15" s="22"/>
      <c r="F15" s="23"/>
      <c r="G15" s="24" t="s">
        <v>15</v>
      </c>
      <c r="H15" s="21" t="s">
        <v>16</v>
      </c>
      <c r="I15" s="22"/>
      <c r="J15" s="23"/>
      <c r="K15" s="21" t="s">
        <v>17</v>
      </c>
      <c r="L15" s="22"/>
      <c r="M15" s="22"/>
      <c r="N15" s="23"/>
    </row>
    <row r="16" spans="2:14" ht="12.75">
      <c r="B16" s="25"/>
      <c r="C16" s="25"/>
      <c r="D16" s="3" t="s">
        <v>131</v>
      </c>
      <c r="E16" s="3" t="s">
        <v>132</v>
      </c>
      <c r="F16" s="3" t="s">
        <v>133</v>
      </c>
      <c r="G16" s="25"/>
      <c r="H16" s="3" t="s">
        <v>21</v>
      </c>
      <c r="I16" s="3" t="s">
        <v>22</v>
      </c>
      <c r="J16" s="3" t="s">
        <v>23</v>
      </c>
      <c r="K16" s="3" t="s">
        <v>24</v>
      </c>
      <c r="L16" s="3" t="s">
        <v>25</v>
      </c>
      <c r="M16" s="3" t="s">
        <v>26</v>
      </c>
      <c r="N16" s="3" t="s">
        <v>27</v>
      </c>
    </row>
    <row r="17" spans="2:14" ht="12.75">
      <c r="B17" s="4" t="s">
        <v>59</v>
      </c>
      <c r="C17" s="2">
        <v>100</v>
      </c>
      <c r="D17" s="5">
        <v>25.2</v>
      </c>
      <c r="E17" s="5">
        <v>17.6</v>
      </c>
      <c r="F17" s="5">
        <v>0.2</v>
      </c>
      <c r="G17" s="2">
        <v>264.4</v>
      </c>
      <c r="H17" s="5">
        <v>0.06</v>
      </c>
      <c r="I17" s="5">
        <v>0.1</v>
      </c>
      <c r="J17" s="5">
        <v>0.2</v>
      </c>
      <c r="K17" s="5">
        <v>14.4</v>
      </c>
      <c r="L17" s="5">
        <v>36.4</v>
      </c>
      <c r="M17" s="5">
        <v>304.2</v>
      </c>
      <c r="N17" s="5">
        <v>2.2</v>
      </c>
    </row>
    <row r="18" spans="2:14" ht="12.75">
      <c r="B18" s="4" t="s">
        <v>35</v>
      </c>
      <c r="C18" s="2">
        <v>50</v>
      </c>
      <c r="D18" s="5">
        <v>0.4</v>
      </c>
      <c r="E18" s="5">
        <v>0.81</v>
      </c>
      <c r="F18" s="5">
        <v>3.55</v>
      </c>
      <c r="G18" s="2">
        <v>22.9</v>
      </c>
      <c r="H18" s="5">
        <v>0</v>
      </c>
      <c r="I18" s="5">
        <v>0</v>
      </c>
      <c r="J18" s="5">
        <v>1.6</v>
      </c>
      <c r="K18" s="5">
        <v>3.8</v>
      </c>
      <c r="L18" s="5">
        <v>2</v>
      </c>
      <c r="M18" s="5">
        <v>8.4</v>
      </c>
      <c r="N18" s="5">
        <v>0.2</v>
      </c>
    </row>
    <row r="19" spans="2:14" ht="12.75">
      <c r="B19" s="6" t="s">
        <v>60</v>
      </c>
      <c r="C19" s="7">
        <v>150</v>
      </c>
      <c r="D19" s="7">
        <v>3.2</v>
      </c>
      <c r="E19" s="7">
        <v>5.2</v>
      </c>
      <c r="F19" s="7">
        <v>26.4</v>
      </c>
      <c r="G19" s="7">
        <v>158.7</v>
      </c>
      <c r="H19" s="7">
        <v>0.04</v>
      </c>
      <c r="I19" s="7">
        <v>0.15</v>
      </c>
      <c r="J19" s="7">
        <v>25.8</v>
      </c>
      <c r="K19" s="7">
        <v>40.4</v>
      </c>
      <c r="L19" s="7">
        <v>33.6</v>
      </c>
      <c r="M19" s="7">
        <v>97.9</v>
      </c>
      <c r="N19" s="7">
        <v>1.2</v>
      </c>
    </row>
    <row r="20" spans="2:14" ht="25.5">
      <c r="B20" s="6" t="s">
        <v>61</v>
      </c>
      <c r="C20" s="7">
        <v>200</v>
      </c>
      <c r="D20" s="7">
        <v>0</v>
      </c>
      <c r="E20" s="7">
        <v>0</v>
      </c>
      <c r="F20" s="7">
        <v>18.4</v>
      </c>
      <c r="G20" s="7">
        <v>74</v>
      </c>
      <c r="H20" s="7">
        <v>0.5</v>
      </c>
      <c r="I20" s="7">
        <v>0.6</v>
      </c>
      <c r="J20" s="7">
        <v>30</v>
      </c>
      <c r="K20" s="7">
        <v>0</v>
      </c>
      <c r="L20" s="7">
        <v>0</v>
      </c>
      <c r="M20" s="7">
        <v>0</v>
      </c>
      <c r="N20" s="7">
        <v>0</v>
      </c>
    </row>
    <row r="21" spans="2:14" ht="12.75">
      <c r="B21" s="6" t="s">
        <v>62</v>
      </c>
      <c r="C21" s="7">
        <v>25</v>
      </c>
      <c r="D21" s="7">
        <v>1.9</v>
      </c>
      <c r="E21" s="7">
        <v>0.15</v>
      </c>
      <c r="F21" s="7">
        <v>13</v>
      </c>
      <c r="G21" s="7">
        <v>58</v>
      </c>
      <c r="H21" s="7">
        <v>0</v>
      </c>
      <c r="I21" s="7">
        <v>0</v>
      </c>
      <c r="J21" s="7">
        <v>0</v>
      </c>
      <c r="K21" s="7">
        <v>5</v>
      </c>
      <c r="L21" s="7">
        <v>3.5</v>
      </c>
      <c r="M21" s="7">
        <v>16.3</v>
      </c>
      <c r="N21" s="7">
        <v>0.2</v>
      </c>
    </row>
    <row r="22" spans="2:14" ht="12.7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12.75">
      <c r="B23" s="16" t="s">
        <v>31</v>
      </c>
      <c r="C23" s="7"/>
      <c r="D23" s="7">
        <f>SUM(D17:D19)</f>
        <v>28.799999999999997</v>
      </c>
      <c r="E23" s="7">
        <f>SUM(E17:E19)</f>
        <v>23.61</v>
      </c>
      <c r="F23" s="7">
        <f>SUM(F17:F19)</f>
        <v>30.15</v>
      </c>
      <c r="G23" s="7">
        <f>SUM(G17:G21)</f>
        <v>578</v>
      </c>
      <c r="H23" s="7">
        <f aca="true" t="shared" si="0" ref="H23:N23">SUM(H17:H19)</f>
        <v>0.1</v>
      </c>
      <c r="I23" s="7">
        <f t="shared" si="0"/>
        <v>0.25</v>
      </c>
      <c r="J23" s="7">
        <f t="shared" si="0"/>
        <v>27.6</v>
      </c>
      <c r="K23" s="7">
        <f t="shared" si="0"/>
        <v>58.599999999999994</v>
      </c>
      <c r="L23" s="7">
        <f t="shared" si="0"/>
        <v>72</v>
      </c>
      <c r="M23" s="7">
        <f t="shared" si="0"/>
        <v>410.5</v>
      </c>
      <c r="N23" s="7">
        <f t="shared" si="0"/>
        <v>3.6000000000000005</v>
      </c>
    </row>
    <row r="24" spans="2:14" ht="12.75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</sheetData>
  <sheetProtection/>
  <mergeCells count="14">
    <mergeCell ref="K15:N15"/>
    <mergeCell ref="I5:M5"/>
    <mergeCell ref="K11:M11"/>
    <mergeCell ref="K12:M12"/>
    <mergeCell ref="K13:M13"/>
    <mergeCell ref="H15:J15"/>
    <mergeCell ref="B15:B16"/>
    <mergeCell ref="C15:C16"/>
    <mergeCell ref="G15:G16"/>
    <mergeCell ref="B3:G3"/>
    <mergeCell ref="B4:G4"/>
    <mergeCell ref="B5:F5"/>
    <mergeCell ref="D15:F15"/>
    <mergeCell ref="D8:J9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3:N25"/>
  <sheetViews>
    <sheetView zoomScalePageLayoutView="0" workbookViewId="0" topLeftCell="B1">
      <selection activeCell="K14" sqref="K14:M14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20"/>
      <c r="J3" s="20"/>
      <c r="K3" s="20"/>
      <c r="L3" s="20"/>
      <c r="M3" s="20"/>
    </row>
    <row r="4" spans="2:7" ht="12.75">
      <c r="B4" s="20"/>
      <c r="C4" s="20"/>
      <c r="D4" s="20"/>
      <c r="E4" s="20"/>
      <c r="F4" s="20"/>
      <c r="G4" s="20"/>
    </row>
    <row r="5" spans="2:7" ht="12.75">
      <c r="B5" s="20"/>
      <c r="C5" s="20"/>
      <c r="D5" s="20"/>
      <c r="E5" s="20"/>
      <c r="F5" s="20"/>
      <c r="G5" s="20"/>
    </row>
    <row r="6" spans="2:13" ht="12.75">
      <c r="B6" s="20"/>
      <c r="C6" s="20"/>
      <c r="D6" s="20"/>
      <c r="E6" s="20"/>
      <c r="F6" s="20"/>
      <c r="I6" s="20"/>
      <c r="J6" s="20"/>
      <c r="K6" s="20"/>
      <c r="L6" s="20"/>
      <c r="M6" s="20"/>
    </row>
    <row r="9" spans="4:10" ht="12.75">
      <c r="D9" s="26" t="s">
        <v>32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2" spans="11:13" ht="12.75">
      <c r="K12" s="27" t="s">
        <v>63</v>
      </c>
      <c r="L12" s="27"/>
      <c r="M12" s="27"/>
    </row>
    <row r="13" spans="11:13" ht="12.75">
      <c r="K13" s="20" t="s">
        <v>11</v>
      </c>
      <c r="L13" s="20"/>
      <c r="M13" s="20"/>
    </row>
    <row r="14" spans="11:13" ht="12.75">
      <c r="K14" s="27" t="s">
        <v>33</v>
      </c>
      <c r="L14" s="27"/>
      <c r="M14" s="27"/>
    </row>
    <row r="16" spans="2:14" ht="25.5" customHeight="1">
      <c r="B16" s="24" t="s">
        <v>12</v>
      </c>
      <c r="C16" s="24" t="s">
        <v>13</v>
      </c>
      <c r="D16" s="21" t="s">
        <v>14</v>
      </c>
      <c r="E16" s="22"/>
      <c r="F16" s="23"/>
      <c r="G16" s="24" t="s">
        <v>15</v>
      </c>
      <c r="H16" s="21" t="s">
        <v>16</v>
      </c>
      <c r="I16" s="22"/>
      <c r="J16" s="23"/>
      <c r="K16" s="21" t="s">
        <v>17</v>
      </c>
      <c r="L16" s="22"/>
      <c r="M16" s="22"/>
      <c r="N16" s="23"/>
    </row>
    <row r="17" spans="2:14" ht="12.75">
      <c r="B17" s="25"/>
      <c r="C17" s="25"/>
      <c r="D17" s="3" t="s">
        <v>131</v>
      </c>
      <c r="E17" s="3" t="s">
        <v>132</v>
      </c>
      <c r="F17" s="3" t="s">
        <v>133</v>
      </c>
      <c r="G17" s="25"/>
      <c r="H17" s="3" t="s">
        <v>21</v>
      </c>
      <c r="I17" s="3" t="s">
        <v>22</v>
      </c>
      <c r="J17" s="3" t="s">
        <v>23</v>
      </c>
      <c r="K17" s="3" t="s">
        <v>24</v>
      </c>
      <c r="L17" s="3" t="s">
        <v>25</v>
      </c>
      <c r="M17" s="3" t="s">
        <v>26</v>
      </c>
      <c r="N17" s="3" t="s">
        <v>27</v>
      </c>
    </row>
    <row r="18" spans="2:14" ht="12.75">
      <c r="B18" s="4" t="s">
        <v>64</v>
      </c>
      <c r="C18" s="2">
        <v>80</v>
      </c>
      <c r="D18" s="5">
        <v>10.96</v>
      </c>
      <c r="E18" s="5">
        <v>18.24</v>
      </c>
      <c r="F18" s="5">
        <v>0</v>
      </c>
      <c r="G18" s="2">
        <v>208</v>
      </c>
      <c r="H18" s="5">
        <v>0</v>
      </c>
      <c r="I18" s="5">
        <v>0</v>
      </c>
      <c r="J18" s="5">
        <v>0</v>
      </c>
      <c r="K18" s="5">
        <v>23.2</v>
      </c>
      <c r="L18" s="5">
        <v>17.6</v>
      </c>
      <c r="M18" s="5">
        <v>142.4</v>
      </c>
      <c r="N18" s="5">
        <v>1.28</v>
      </c>
    </row>
    <row r="19" spans="2:14" ht="12.75">
      <c r="B19" s="4" t="s">
        <v>35</v>
      </c>
      <c r="C19" s="2">
        <v>50</v>
      </c>
      <c r="D19" s="5">
        <v>0.4</v>
      </c>
      <c r="E19" s="5">
        <v>0.81</v>
      </c>
      <c r="F19" s="5">
        <v>3.55</v>
      </c>
      <c r="G19" s="2">
        <v>22.9</v>
      </c>
      <c r="H19" s="5">
        <v>0</v>
      </c>
      <c r="I19" s="5">
        <v>0</v>
      </c>
      <c r="J19" s="5">
        <v>1.6</v>
      </c>
      <c r="K19" s="5">
        <v>3.8</v>
      </c>
      <c r="L19" s="5">
        <v>2</v>
      </c>
      <c r="M19" s="5">
        <v>8.4</v>
      </c>
      <c r="N19" s="5">
        <v>0.2</v>
      </c>
    </row>
    <row r="20" spans="2:14" ht="12.75">
      <c r="B20" s="6" t="s">
        <v>65</v>
      </c>
      <c r="C20" s="7">
        <v>150</v>
      </c>
      <c r="D20" s="7">
        <v>16.58</v>
      </c>
      <c r="E20" s="7">
        <v>5.5</v>
      </c>
      <c r="F20" s="7">
        <v>41.5</v>
      </c>
      <c r="G20" s="7">
        <v>251.5</v>
      </c>
      <c r="H20" s="7">
        <v>0</v>
      </c>
      <c r="I20" s="7">
        <v>0.65</v>
      </c>
      <c r="J20" s="7">
        <v>0</v>
      </c>
      <c r="K20" s="7">
        <v>65.75</v>
      </c>
      <c r="L20" s="7">
        <v>64</v>
      </c>
      <c r="M20" s="7">
        <v>163.6</v>
      </c>
      <c r="N20" s="7">
        <v>5</v>
      </c>
    </row>
    <row r="21" spans="2:14" ht="12.75">
      <c r="B21" s="6" t="s">
        <v>36</v>
      </c>
      <c r="C21" s="7" t="s">
        <v>37</v>
      </c>
      <c r="D21" s="7">
        <v>0</v>
      </c>
      <c r="E21" s="7">
        <v>0</v>
      </c>
      <c r="F21" s="7">
        <v>14.35</v>
      </c>
      <c r="G21" s="7">
        <v>58.5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2:14" ht="25.5">
      <c r="B22" s="6" t="s">
        <v>30</v>
      </c>
      <c r="C22" s="7">
        <v>25</v>
      </c>
      <c r="D22" s="7">
        <v>2.02</v>
      </c>
      <c r="E22" s="7">
        <v>0.37</v>
      </c>
      <c r="F22" s="7">
        <v>13.2</v>
      </c>
      <c r="G22" s="7">
        <v>64.5</v>
      </c>
      <c r="H22" s="7">
        <v>0</v>
      </c>
      <c r="I22" s="7">
        <v>0.11</v>
      </c>
      <c r="J22" s="7">
        <v>0</v>
      </c>
      <c r="K22" s="7">
        <v>0</v>
      </c>
      <c r="L22" s="7">
        <v>0</v>
      </c>
      <c r="M22" s="7">
        <v>0</v>
      </c>
      <c r="N22" s="7">
        <v>0.5</v>
      </c>
    </row>
    <row r="23" spans="2:14" ht="12.7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12.75">
      <c r="B24" s="16" t="s">
        <v>31</v>
      </c>
      <c r="C24" s="7"/>
      <c r="D24" s="7">
        <f>SUM(D18:D20)</f>
        <v>27.939999999999998</v>
      </c>
      <c r="E24" s="7">
        <f>SUM(E18:E20)</f>
        <v>24.549999999999997</v>
      </c>
      <c r="F24" s="7">
        <f>SUM(F18:F20)</f>
        <v>45.05</v>
      </c>
      <c r="G24" s="7">
        <f>SUM(G18:G22)</f>
        <v>605.4</v>
      </c>
      <c r="H24" s="7">
        <f aca="true" t="shared" si="0" ref="H24:N24">SUM(H18:H20)</f>
        <v>0</v>
      </c>
      <c r="I24" s="7">
        <f t="shared" si="0"/>
        <v>0.65</v>
      </c>
      <c r="J24" s="7">
        <f t="shared" si="0"/>
        <v>1.6</v>
      </c>
      <c r="K24" s="7">
        <f t="shared" si="0"/>
        <v>92.75</v>
      </c>
      <c r="L24" s="7">
        <f t="shared" si="0"/>
        <v>83.6</v>
      </c>
      <c r="M24" s="7">
        <f t="shared" si="0"/>
        <v>314.4</v>
      </c>
      <c r="N24" s="7">
        <f t="shared" si="0"/>
        <v>6.48</v>
      </c>
    </row>
    <row r="25" spans="2:14" ht="12.7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</sheetData>
  <sheetProtection/>
  <mergeCells count="16">
    <mergeCell ref="B16:B17"/>
    <mergeCell ref="C16:C17"/>
    <mergeCell ref="G16:G17"/>
    <mergeCell ref="B3:G3"/>
    <mergeCell ref="B4:G4"/>
    <mergeCell ref="B5:G5"/>
    <mergeCell ref="B6:F6"/>
    <mergeCell ref="D9:J10"/>
    <mergeCell ref="D16:F16"/>
    <mergeCell ref="K16:N16"/>
    <mergeCell ref="I3:M3"/>
    <mergeCell ref="I6:M6"/>
    <mergeCell ref="K12:M12"/>
    <mergeCell ref="K13:M13"/>
    <mergeCell ref="K14:M14"/>
    <mergeCell ref="H16:J16"/>
  </mergeCells>
  <printOptions/>
  <pageMargins left="0.87" right="0.2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3:N25"/>
  <sheetViews>
    <sheetView zoomScalePageLayoutView="0" workbookViewId="0" topLeftCell="B1">
      <selection activeCell="K14" sqref="K14:M14"/>
    </sheetView>
  </sheetViews>
  <sheetFormatPr defaultColWidth="9.00390625" defaultRowHeight="12.75"/>
  <cols>
    <col min="1" max="1" width="0" style="0" hidden="1" customWidth="1"/>
    <col min="2" max="2" width="23.125" style="0" customWidth="1"/>
  </cols>
  <sheetData>
    <row r="3" spans="2:13" ht="12.75">
      <c r="B3" s="20"/>
      <c r="C3" s="20"/>
      <c r="D3" s="20"/>
      <c r="E3" s="20"/>
      <c r="F3" s="20"/>
      <c r="G3" s="20"/>
      <c r="I3" s="20"/>
      <c r="J3" s="20"/>
      <c r="K3" s="20"/>
      <c r="L3" s="20"/>
      <c r="M3" s="20"/>
    </row>
    <row r="4" spans="2:7" ht="12.75">
      <c r="B4" s="20"/>
      <c r="C4" s="20"/>
      <c r="D4" s="20"/>
      <c r="E4" s="20"/>
      <c r="F4" s="20"/>
      <c r="G4" s="20"/>
    </row>
    <row r="5" spans="2:7" ht="12.75">
      <c r="B5" s="20"/>
      <c r="C5" s="20"/>
      <c r="D5" s="20"/>
      <c r="E5" s="20"/>
      <c r="F5" s="20"/>
      <c r="G5" s="20"/>
    </row>
    <row r="6" spans="2:13" ht="12.75">
      <c r="B6" s="20"/>
      <c r="C6" s="20"/>
      <c r="D6" s="20"/>
      <c r="E6" s="20"/>
      <c r="F6" s="20"/>
      <c r="I6" s="20"/>
      <c r="J6" s="20"/>
      <c r="K6" s="20"/>
      <c r="L6" s="20"/>
      <c r="M6" s="20"/>
    </row>
    <row r="9" spans="4:10" ht="12.75">
      <c r="D9" s="26" t="s">
        <v>32</v>
      </c>
      <c r="E9" s="26"/>
      <c r="F9" s="26"/>
      <c r="G9" s="26"/>
      <c r="H9" s="26"/>
      <c r="I9" s="26"/>
      <c r="J9" s="26"/>
    </row>
    <row r="10" spans="4:10" ht="12.75">
      <c r="D10" s="26"/>
      <c r="E10" s="26"/>
      <c r="F10" s="26"/>
      <c r="G10" s="26"/>
      <c r="H10" s="26"/>
      <c r="I10" s="26"/>
      <c r="J10" s="26"/>
    </row>
    <row r="12" spans="11:13" ht="12.75">
      <c r="K12" s="27" t="s">
        <v>66</v>
      </c>
      <c r="L12" s="27"/>
      <c r="M12" s="27"/>
    </row>
    <row r="13" spans="11:13" ht="12.75">
      <c r="K13" s="20" t="s">
        <v>11</v>
      </c>
      <c r="L13" s="20"/>
      <c r="M13" s="20"/>
    </row>
    <row r="14" spans="11:13" ht="12.75">
      <c r="K14" s="27" t="s">
        <v>33</v>
      </c>
      <c r="L14" s="27"/>
      <c r="M14" s="27"/>
    </row>
    <row r="16" spans="2:14" ht="25.5" customHeight="1">
      <c r="B16" s="24" t="s">
        <v>12</v>
      </c>
      <c r="C16" s="24" t="s">
        <v>13</v>
      </c>
      <c r="D16" s="21" t="s">
        <v>14</v>
      </c>
      <c r="E16" s="22"/>
      <c r="F16" s="23"/>
      <c r="G16" s="24" t="s">
        <v>15</v>
      </c>
      <c r="H16" s="21" t="s">
        <v>16</v>
      </c>
      <c r="I16" s="22"/>
      <c r="J16" s="23"/>
      <c r="K16" s="21" t="s">
        <v>17</v>
      </c>
      <c r="L16" s="22"/>
      <c r="M16" s="22"/>
      <c r="N16" s="23"/>
    </row>
    <row r="17" spans="2:14" ht="12.75">
      <c r="B17" s="25"/>
      <c r="C17" s="25"/>
      <c r="D17" s="3" t="s">
        <v>131</v>
      </c>
      <c r="E17" s="3" t="s">
        <v>132</v>
      </c>
      <c r="F17" s="3" t="s">
        <v>133</v>
      </c>
      <c r="G17" s="25"/>
      <c r="H17" s="3" t="s">
        <v>21</v>
      </c>
      <c r="I17" s="3" t="s">
        <v>22</v>
      </c>
      <c r="J17" s="3" t="s">
        <v>23</v>
      </c>
      <c r="K17" s="3" t="s">
        <v>24</v>
      </c>
      <c r="L17" s="3" t="s">
        <v>25</v>
      </c>
      <c r="M17" s="3" t="s">
        <v>26</v>
      </c>
      <c r="N17" s="3" t="s">
        <v>27</v>
      </c>
    </row>
    <row r="18" spans="2:14" ht="25.5">
      <c r="B18" s="4" t="s">
        <v>67</v>
      </c>
      <c r="C18" s="2" t="s">
        <v>98</v>
      </c>
      <c r="D18" s="5">
        <f>27.45*80/75</f>
        <v>29.28</v>
      </c>
      <c r="E18" s="5">
        <f>19.35*80/75</f>
        <v>20.64</v>
      </c>
      <c r="F18" s="5">
        <f>11.4*80/75</f>
        <v>12.16</v>
      </c>
      <c r="G18" s="2">
        <f>207.6*80/75</f>
        <v>221.44</v>
      </c>
      <c r="H18" s="5">
        <f>4.05*80/75</f>
        <v>4.32</v>
      </c>
      <c r="I18" s="5">
        <f>0.3*80/75</f>
        <v>0.32</v>
      </c>
      <c r="J18" s="5">
        <f>38.7*80/75</f>
        <v>41.28</v>
      </c>
      <c r="K18" s="5">
        <f>14.7*80/75</f>
        <v>15.68</v>
      </c>
      <c r="L18" s="5">
        <f>24.3*80/75</f>
        <v>25.92</v>
      </c>
      <c r="M18" s="5">
        <f>383.85*80/75</f>
        <v>409.44</v>
      </c>
      <c r="N18" s="5">
        <f>10.05*80/75</f>
        <v>10.72</v>
      </c>
    </row>
    <row r="19" spans="2:14" ht="12.75">
      <c r="B19" s="4" t="s">
        <v>60</v>
      </c>
      <c r="C19" s="7">
        <v>150</v>
      </c>
      <c r="D19" s="7">
        <v>3.2</v>
      </c>
      <c r="E19" s="7">
        <v>5.2</v>
      </c>
      <c r="F19" s="7">
        <v>26.4</v>
      </c>
      <c r="G19" s="7">
        <v>158.7</v>
      </c>
      <c r="H19" s="7">
        <v>0.04</v>
      </c>
      <c r="I19" s="7">
        <v>0.15</v>
      </c>
      <c r="J19" s="7">
        <v>25.8</v>
      </c>
      <c r="K19" s="7">
        <v>40.4</v>
      </c>
      <c r="L19" s="7">
        <v>33.6</v>
      </c>
      <c r="M19" s="7">
        <v>97.9</v>
      </c>
      <c r="N19" s="7">
        <v>1.2</v>
      </c>
    </row>
    <row r="20" spans="2:14" ht="25.5">
      <c r="B20" s="6" t="s">
        <v>56</v>
      </c>
      <c r="C20" s="2">
        <v>200</v>
      </c>
      <c r="D20" s="5">
        <v>0</v>
      </c>
      <c r="E20" s="5">
        <v>0</v>
      </c>
      <c r="F20" s="5">
        <v>8.4</v>
      </c>
      <c r="G20" s="2">
        <v>33</v>
      </c>
      <c r="H20" s="5">
        <v>0.5</v>
      </c>
      <c r="I20" s="5">
        <v>0.49</v>
      </c>
      <c r="J20" s="5">
        <v>30</v>
      </c>
      <c r="K20" s="5">
        <v>0</v>
      </c>
      <c r="L20" s="5">
        <v>0</v>
      </c>
      <c r="M20" s="5">
        <v>0</v>
      </c>
      <c r="N20" s="5">
        <v>0</v>
      </c>
    </row>
    <row r="21" spans="2:14" ht="12.75">
      <c r="B21" s="6" t="s">
        <v>62</v>
      </c>
      <c r="C21" s="7">
        <v>25</v>
      </c>
      <c r="D21" s="7">
        <v>1.9</v>
      </c>
      <c r="E21" s="7">
        <v>0.15</v>
      </c>
      <c r="F21" s="7">
        <v>13</v>
      </c>
      <c r="G21" s="7">
        <v>58</v>
      </c>
      <c r="H21" s="7">
        <v>0</v>
      </c>
      <c r="I21" s="7">
        <v>0</v>
      </c>
      <c r="J21" s="7">
        <v>0</v>
      </c>
      <c r="K21" s="7">
        <v>5</v>
      </c>
      <c r="L21" s="7">
        <v>3.5</v>
      </c>
      <c r="M21" s="7">
        <v>16.3</v>
      </c>
      <c r="N21" s="7">
        <v>0.2</v>
      </c>
    </row>
    <row r="22" spans="2:14" ht="12.75">
      <c r="B22" s="6" t="s">
        <v>108</v>
      </c>
      <c r="C22" s="7">
        <v>20</v>
      </c>
      <c r="D22" s="7">
        <v>0.96</v>
      </c>
      <c r="E22" s="7">
        <v>6.94</v>
      </c>
      <c r="F22" s="7">
        <v>11.52</v>
      </c>
      <c r="G22" s="7">
        <v>109.8</v>
      </c>
      <c r="H22" s="7">
        <v>0</v>
      </c>
      <c r="I22" s="7">
        <v>0</v>
      </c>
      <c r="J22" s="7">
        <v>0</v>
      </c>
      <c r="K22" s="7">
        <v>0.6</v>
      </c>
      <c r="L22" s="7">
        <v>1.4</v>
      </c>
      <c r="M22" s="7">
        <v>11.4</v>
      </c>
      <c r="N22" s="7">
        <v>0.2</v>
      </c>
    </row>
    <row r="23" spans="2:14" ht="12.7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12.75">
      <c r="B24" s="16" t="s">
        <v>31</v>
      </c>
      <c r="C24" s="7"/>
      <c r="D24" s="7">
        <f>SUM(D18:D20)</f>
        <v>32.480000000000004</v>
      </c>
      <c r="E24" s="7">
        <f>SUM(E18:E20)</f>
        <v>25.84</v>
      </c>
      <c r="F24" s="7">
        <f>SUM(F18:F20)</f>
        <v>46.96</v>
      </c>
      <c r="G24" s="7">
        <f>SUM(G18:G22)</f>
        <v>580.9399999999999</v>
      </c>
      <c r="H24" s="7">
        <f aca="true" t="shared" si="0" ref="H24:N24">SUM(H18:H20)</f>
        <v>4.86</v>
      </c>
      <c r="I24" s="7">
        <f t="shared" si="0"/>
        <v>0.96</v>
      </c>
      <c r="J24" s="7">
        <f t="shared" si="0"/>
        <v>97.08</v>
      </c>
      <c r="K24" s="7">
        <f t="shared" si="0"/>
        <v>56.08</v>
      </c>
      <c r="L24" s="7">
        <f t="shared" si="0"/>
        <v>59.52</v>
      </c>
      <c r="M24" s="7">
        <f t="shared" si="0"/>
        <v>507.34000000000003</v>
      </c>
      <c r="N24" s="7">
        <f t="shared" si="0"/>
        <v>11.92</v>
      </c>
    </row>
    <row r="25" spans="2:14" ht="12.7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</sheetData>
  <sheetProtection/>
  <mergeCells count="16">
    <mergeCell ref="K16:N16"/>
    <mergeCell ref="I3:M3"/>
    <mergeCell ref="I6:M6"/>
    <mergeCell ref="K12:M12"/>
    <mergeCell ref="K13:M13"/>
    <mergeCell ref="K14:M14"/>
    <mergeCell ref="H16:J16"/>
    <mergeCell ref="B16:B17"/>
    <mergeCell ref="C16:C17"/>
    <mergeCell ref="G16:G17"/>
    <mergeCell ref="B3:G3"/>
    <mergeCell ref="B4:G4"/>
    <mergeCell ref="B5:G5"/>
    <mergeCell ref="B6:F6"/>
    <mergeCell ref="D9:J10"/>
    <mergeCell ref="D16:F16"/>
  </mergeCells>
  <printOptions/>
  <pageMargins left="0.87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Наговицина Е.В.</dc:creator>
  <cp:keywords/>
  <dc:description/>
  <cp:lastModifiedBy>Елена Гончарова</cp:lastModifiedBy>
  <cp:lastPrinted>2013-11-18T09:41:27Z</cp:lastPrinted>
  <dcterms:created xsi:type="dcterms:W3CDTF">2012-04-25T06:55:06Z</dcterms:created>
  <dcterms:modified xsi:type="dcterms:W3CDTF">2015-03-22T09:15:27Z</dcterms:modified>
  <cp:category/>
  <cp:version/>
  <cp:contentType/>
  <cp:contentStatus/>
</cp:coreProperties>
</file>